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Работы" sheetId="1" r:id="rId1"/>
    <sheet name="Ресурсы" sheetId="2" r:id="rId2"/>
  </sheets>
  <definedNames>
    <definedName name="_xlnm.Print_Titles" localSheetId="0">Работы!$3:$3</definedName>
    <definedName name="_xlnm.Print_Titles" localSheetId="1">Ресурсы!$3:$3</definedName>
  </definedNames>
  <calcPr calcId="152511"/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2" i="1"/>
  <c r="H42" i="1"/>
  <c r="I42" i="1"/>
  <c r="J42" i="1"/>
  <c r="K42" i="1"/>
  <c r="L42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G46" i="1"/>
  <c r="H46" i="1"/>
  <c r="I46" i="1"/>
  <c r="J46" i="1"/>
  <c r="K46" i="1"/>
  <c r="L46" i="1"/>
  <c r="G47" i="1"/>
  <c r="H47" i="1"/>
  <c r="I47" i="1"/>
  <c r="J47" i="1"/>
  <c r="K47" i="1"/>
  <c r="L47" i="1"/>
  <c r="G48" i="1"/>
  <c r="H48" i="1"/>
  <c r="I48" i="1"/>
  <c r="J48" i="1"/>
  <c r="K48" i="1"/>
  <c r="L48" i="1"/>
  <c r="G49" i="1"/>
  <c r="H49" i="1"/>
  <c r="I49" i="1"/>
  <c r="J49" i="1"/>
  <c r="K49" i="1"/>
  <c r="L49" i="1"/>
  <c r="G50" i="1"/>
  <c r="H50" i="1"/>
  <c r="I50" i="1"/>
  <c r="J50" i="1"/>
  <c r="K50" i="1"/>
  <c r="L50" i="1"/>
  <c r="G51" i="1"/>
  <c r="H51" i="1"/>
  <c r="I51" i="1"/>
  <c r="J51" i="1"/>
  <c r="K51" i="1"/>
  <c r="L51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G60" i="1"/>
  <c r="H60" i="1"/>
  <c r="I60" i="1"/>
  <c r="J60" i="1"/>
  <c r="K60" i="1"/>
  <c r="L60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6" i="2"/>
  <c r="G57" i="2"/>
  <c r="G58" i="2"/>
  <c r="G59" i="2"/>
  <c r="G60" i="2"/>
  <c r="G61" i="2"/>
  <c r="G62" i="2"/>
  <c r="G63" i="2"/>
  <c r="G64" i="2"/>
  <c r="G65" i="2"/>
  <c r="G68" i="2"/>
  <c r="G69" i="2"/>
  <c r="G70" i="2"/>
  <c r="G71" i="2"/>
  <c r="G72" i="2"/>
  <c r="G73" i="2"/>
  <c r="G74" i="2" l="1"/>
  <c r="G31" i="2"/>
  <c r="M47" i="1"/>
  <c r="N47" i="1" s="1"/>
  <c r="M35" i="1"/>
  <c r="N35" i="1" s="1"/>
  <c r="M19" i="1"/>
  <c r="N19" i="1" s="1"/>
  <c r="M17" i="1"/>
  <c r="N17" i="1" s="1"/>
  <c r="M15" i="1"/>
  <c r="N15" i="1" s="1"/>
  <c r="M32" i="1"/>
  <c r="N32" i="1" s="1"/>
  <c r="M28" i="1"/>
  <c r="N28" i="1" s="1"/>
  <c r="M12" i="1"/>
  <c r="N12" i="1" s="1"/>
  <c r="M59" i="1"/>
  <c r="N59" i="1" s="1"/>
  <c r="M55" i="1"/>
  <c r="N55" i="1" s="1"/>
  <c r="M54" i="1"/>
  <c r="N54" i="1" s="1"/>
  <c r="M27" i="1"/>
  <c r="N27" i="1" s="1"/>
  <c r="M26" i="1"/>
  <c r="N26" i="1" s="1"/>
  <c r="M11" i="1"/>
  <c r="N11" i="1" s="1"/>
  <c r="M51" i="1"/>
  <c r="N51" i="1" s="1"/>
  <c r="M23" i="1"/>
  <c r="N23" i="1" s="1"/>
  <c r="M7" i="1"/>
  <c r="N7" i="1" s="1"/>
  <c r="M6" i="1"/>
  <c r="N6" i="1" s="1"/>
  <c r="M8" i="1"/>
  <c r="N8" i="1" s="1"/>
  <c r="M49" i="1"/>
  <c r="N49" i="1" s="1"/>
  <c r="M44" i="1"/>
  <c r="N44" i="1" s="1"/>
  <c r="M40" i="1"/>
  <c r="N40" i="1" s="1"/>
  <c r="M36" i="1"/>
  <c r="N36" i="1" s="1"/>
  <c r="M34" i="1"/>
  <c r="N34" i="1" s="1"/>
  <c r="M31" i="1"/>
  <c r="N31" i="1" s="1"/>
  <c r="M30" i="1"/>
  <c r="N30" i="1" s="1"/>
  <c r="M21" i="1"/>
  <c r="N21" i="1" s="1"/>
  <c r="M16" i="1"/>
  <c r="N16" i="1" s="1"/>
  <c r="M14" i="1"/>
  <c r="N14" i="1" s="1"/>
  <c r="M10" i="1"/>
  <c r="N10" i="1" s="1"/>
  <c r="M5" i="1"/>
  <c r="N5" i="1" s="1"/>
  <c r="M58" i="1"/>
  <c r="N58" i="1" s="1"/>
  <c r="M45" i="1"/>
  <c r="N45" i="1" s="1"/>
  <c r="M41" i="1"/>
  <c r="N41" i="1" s="1"/>
  <c r="M37" i="1"/>
  <c r="N37" i="1" s="1"/>
  <c r="G54" i="2"/>
  <c r="M57" i="1"/>
  <c r="N57" i="1" s="1"/>
  <c r="M53" i="1"/>
  <c r="N53" i="1" s="1"/>
  <c r="M48" i="1"/>
  <c r="N48" i="1" s="1"/>
  <c r="M46" i="1"/>
  <c r="N46" i="1" s="1"/>
  <c r="M43" i="1"/>
  <c r="N43" i="1" s="1"/>
  <c r="M42" i="1"/>
  <c r="N42" i="1" s="1"/>
  <c r="M39" i="1"/>
  <c r="N39" i="1" s="1"/>
  <c r="M38" i="1"/>
  <c r="N38" i="1" s="1"/>
  <c r="M25" i="1"/>
  <c r="N25" i="1" s="1"/>
  <c r="M20" i="1"/>
  <c r="N20" i="1" s="1"/>
  <c r="M18" i="1"/>
  <c r="N18" i="1" s="1"/>
  <c r="M9" i="1"/>
  <c r="N9" i="1" s="1"/>
  <c r="G66" i="2"/>
  <c r="M60" i="1"/>
  <c r="N60" i="1" s="1"/>
  <c r="M56" i="1"/>
  <c r="N56" i="1" s="1"/>
  <c r="M52" i="1"/>
  <c r="N52" i="1" s="1"/>
  <c r="M50" i="1"/>
  <c r="N50" i="1" s="1"/>
  <c r="M33" i="1"/>
  <c r="N33" i="1" s="1"/>
  <c r="M29" i="1"/>
  <c r="N29" i="1" s="1"/>
  <c r="M24" i="1"/>
  <c r="N24" i="1" s="1"/>
  <c r="M22" i="1"/>
  <c r="N22" i="1" s="1"/>
  <c r="M13" i="1"/>
  <c r="N13" i="1" s="1"/>
</calcChain>
</file>

<file path=xl/sharedStrings.xml><?xml version="1.0" encoding="utf-8"?>
<sst xmlns="http://schemas.openxmlformats.org/spreadsheetml/2006/main" count="268" uniqueCount="189">
  <si>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</si>
  <si>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</si>
  <si>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</si>
  <si>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</si>
  <si>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</si>
  <si>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</si>
  <si>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</si>
  <si>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</si>
  <si>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</si>
  <si>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</si>
  <si>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</si>
  <si>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</si>
  <si>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Устранение засоров внутренних канализационных трубопроводов</t>
  </si>
  <si>
    <t>100 м трубы</t>
  </si>
  <si>
    <t>Смена стекол на штапиках без замазки</t>
  </si>
  <si>
    <t>100 м фальца</t>
  </si>
  <si>
    <t>Утепление и прочистка дымовентиляционных каналов</t>
  </si>
  <si>
    <t>1000 м2  общей площади жилых помещений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</si>
  <si>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</si>
  <si>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</si>
  <si>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</si>
  <si>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</si>
  <si>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</si>
  <si>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</si>
  <si>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</si>
  <si>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стальных кровель, водостоков</t>
  </si>
  <si>
    <t>1000 кв.м. кровли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</si>
  <si>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</si>
  <si>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</si>
  <si>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</si>
  <si>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</si>
  <si>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</si>
  <si>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1000 м2  площади помещений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</si>
  <si>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</si>
  <si>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</si>
  <si>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</si>
  <si>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</si>
  <si>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</si>
  <si>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</si>
  <si>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</si>
  <si>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</si>
  <si>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</si>
  <si>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</si>
  <si>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</si>
  <si>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</t>
  </si>
  <si>
    <t>100 м трубопровода</t>
  </si>
  <si>
    <t>Рабочая проверка системы в целом</t>
  </si>
  <si>
    <t>Окончательная проверка при сдаче системы</t>
  </si>
  <si>
    <t>Проверка на прогрев отопительных приборов с регулировкой</t>
  </si>
  <si>
    <t>Консервация/расконсервация системы отопления</t>
  </si>
  <si>
    <t>Промывка трубопроводов системы центрального отопления</t>
  </si>
  <si>
    <t>10 м трубопровода</t>
  </si>
  <si>
    <t>Притирка пробочного крана диаметром до 25 мм без снятия с места</t>
  </si>
  <si>
    <t>100 кранов</t>
  </si>
  <si>
    <t>Притирка пробочного крана диаметром 26-32 мм без снятия с места</t>
  </si>
  <si>
    <t>Ликвидация воздушных пробок в стояке системы отопления</t>
  </si>
  <si>
    <t>100 стояков</t>
  </si>
  <si>
    <t>Мелкий ремонт изоляции трубопроводов при диаметре 50 мм</t>
  </si>
  <si>
    <t>Мелкий ремонт изоляции трубопроводов при диаметре 100 мм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</si>
  <si>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</si>
  <si>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</si>
  <si>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</si>
  <si>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 xml:space="preserve">100 м2  мест общего пользования  </t>
  </si>
  <si>
    <t>Мытье  лестничных площадок и маршей  выше третьего этажа (в доме без лифтов и мусоропровода)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</si>
  <si>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</si>
  <si>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</si>
  <si>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</si>
  <si>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</si>
  <si>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</si>
  <si>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</si>
  <si>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</si>
  <si>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</si>
  <si>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</si>
  <si>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Очистка урн от мусора</t>
  </si>
  <si>
    <t>на 100 урн</t>
  </si>
  <si>
    <t>Формовочная обрезка деревьев</t>
  </si>
  <si>
    <t>100 деревьев</t>
  </si>
  <si>
    <t>Вырезка сухих ветвей и поросли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</si>
  <si>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</si>
  <si>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</si>
  <si>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</si>
  <si>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</si>
  <si>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</si>
  <si>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</si>
  <si>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</si>
  <si>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100 кв. м</t>
  </si>
  <si>
    <t>Очистка кровли от снега, сбивание сосулек</t>
  </si>
  <si>
    <t>100 кв.м.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</si>
  <si>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</si>
  <si>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</si>
  <si>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</si>
  <si>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</si>
  <si>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</si>
  <si>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</si>
  <si>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</si>
  <si>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Механизированная погрузка твердых бытовых отходов в кузовные мусоровозы и разгрузка мусоровозов на полигоне ТБО</t>
  </si>
  <si>
    <t>Транспортировка ТБО  на мусоровозе 7,5-11 куб. м (коэффициент уплотнения 1,6)</t>
  </si>
  <si>
    <t>100 куб.м/км</t>
  </si>
  <si>
    <t>Погрузка-разгрузка бункеровоза</t>
  </si>
  <si>
    <t>100 куб. м</t>
  </si>
  <si>
    <t>Транспортировка КГМ на бункеровозе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</si>
  <si>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</si>
  <si>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</si>
  <si>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</si>
  <si>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</si>
  <si>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</si>
  <si>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</si>
  <si>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</si>
  <si>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</si>
  <si>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Водитель автомобиля 4 разряда</t>
  </si>
  <si>
    <t>Грузчик 1 разряда</t>
  </si>
  <si>
    <t>Дворник 1 разряда</t>
  </si>
  <si>
    <t>Изолировщик на термоизоляции 4 разряда</t>
  </si>
  <si>
    <t>Каменщик 3 разряда</t>
  </si>
  <si>
    <t>Кровельщик по стальным кровлям 4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</si>
  <si>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</si>
  <si>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</si>
  <si>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</si>
  <si>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</si>
  <si>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</si>
  <si>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</si>
  <si>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чел/час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</si>
  <si>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</si>
  <si>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</si>
  <si>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</si>
  <si>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</si>
  <si>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</si>
  <si>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</si>
  <si>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</si>
  <si>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</si>
  <si>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</si>
  <si>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</si>
  <si>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</si>
  <si>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</si>
  <si>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</si>
  <si>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</si>
  <si>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</si>
  <si>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Бензин авиационный Б-70</t>
  </si>
  <si>
    <t>т</t>
  </si>
  <si>
    <t>Болты с гайками и шайбами для санитарно-технических работ, диаметром 16 мм</t>
  </si>
  <si>
    <t>Вода водопроводная</t>
  </si>
  <si>
    <t>м3</t>
  </si>
  <si>
    <t>Войлок строительный толщиной 15 мм</t>
  </si>
  <si>
    <t>м2</t>
  </si>
  <si>
    <t>Изделия резиновые технические морозостойкие</t>
  </si>
  <si>
    <t>кг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</si>
  <si>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</si>
  <si>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</si>
  <si>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 xml:space="preserve">Масса корундовая набивная марки МК-90                   </t>
  </si>
  <si>
    <t>Мастика битумно-резиновая</t>
  </si>
  <si>
    <t>Мешки полиэтиленовые, 60 л</t>
  </si>
  <si>
    <t>шт.</t>
  </si>
  <si>
    <t>Моющее средство "Мистер Пропер"</t>
  </si>
  <si>
    <t>Набивка сальников</t>
  </si>
  <si>
    <t>Пескосоляная смесь</t>
  </si>
  <si>
    <t>Полиэтиленовые мешки, 200 л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</si>
  <si>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</si>
  <si>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3 мм диаметром 300 мм</t>
  </si>
  <si>
    <t>1000 шт.</t>
  </si>
  <si>
    <t>Резина листовая вулканизованная цветная</t>
  </si>
  <si>
    <t>Стекло листовое площадью до 1.0 м2, 1 группы, толщиной 3 мм марки М1</t>
  </si>
  <si>
    <t>Ткань мешочная</t>
  </si>
  <si>
    <t>10 м2</t>
  </si>
  <si>
    <t>Шпагат бумажный влагопрочный одножильный 3,7 мм</t>
  </si>
  <si>
    <t>Штапики</t>
  </si>
  <si>
    <t>пог. м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</si>
  <si>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</si>
  <si>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</si>
  <si>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</si>
  <si>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</si>
  <si>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</si>
  <si>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</si>
  <si>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</si>
  <si>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</si>
  <si>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</si>
  <si>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</si>
  <si>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</si>
  <si>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</si>
  <si>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</si>
  <si>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</si>
  <si>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</si>
  <si>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Погрузка в мусоровоз 7,5-11 куб.м</t>
  </si>
  <si>
    <t>маш.-час.</t>
  </si>
  <si>
    <t>Погрузка-разгрузка бункеровоза КГМ 7,8 куб. м</t>
  </si>
  <si>
    <t>Транспортировка КГМ на бункеровозе 7,8 куб.м</t>
  </si>
  <si>
    <t>Транспортировка на мусоровозе 7,5-11 куб.м</t>
  </si>
  <si>
    <t>Стоимость, руб./кв.м</t>
  </si>
  <si>
    <t>План работ 2016</t>
  </si>
  <si>
    <t>МКД Герцена 30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</si>
</sst>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9"/>
      <color indexed="8"/>
      <name val="Arial"/>
    </font>
    <font>
      <b/>
      <sz val="18"/>
      <color indexed="10"/>
      <name val="Courier"/>
    </font>
    <font>
      <b/>
      <sz val="10"/>
      <color indexed="9"/>
      <name val="Courier"/>
    </font>
    <font>
      <b/>
      <sz val="14"/>
      <color indexed="10"/>
      <name val="Courier"/>
    </font>
    <font>
      <b/>
      <sz val="9"/>
      <color indexed="10"/>
      <name val="Arial"/>
    </font>
    <font>
      <b/>
      <sz val="12"/>
      <color indexed="10"/>
      <name val="Courie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Fill="0" applyProtection="0"/>
  </cellStyleXfs>
  <cellXfs count="38"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4" fontId="0" fillId="0" borderId="8" xfId="0" applyNumberFormat="1" applyFill="1" applyBorder="1" applyAlignment="1" applyProtection="1">
      <alignment horizontal="right" vertical="center"/>
    </xf>
    <xf numFmtId="4" fontId="0" fillId="0" borderId="11" xfId="0" applyNumberForma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right" vertical="center"/>
    </xf>
    <xf numFmtId="4" fontId="0" fillId="0" borderId="7" xfId="0" applyNumberForma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4" fontId="0" fillId="0" borderId="10" xfId="0" applyNumberForma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 applyProtection="1">
      <alignment horizontal="right" vertical="center"/>
    </xf>
    <xf numFmtId="4" fontId="0" fillId="0" borderId="21" xfId="0" applyNumberFormat="1" applyFill="1" applyBorder="1" applyAlignment="1" applyProtection="1">
      <alignment horizontal="right" vertical="center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0" xfId="0" applyNumberForma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right" vertical="center"/>
    </xf>
    <xf numFmtId="0" fontId="0" fillId="0" borderId="23" xfId="0" applyFill="1" applyBorder="1" applyAlignment="1" applyProtection="1"/>
    <xf numFmtId="0" fontId="4" fillId="0" borderId="6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4" fontId="4" fillId="0" borderId="9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B1" workbookViewId="0">
      <selection activeCell="B4" sqref="B4:N4"/>
    </sheetView>
  </sheetViews>
  <sheetFormatPr defaultRowHeight="12" x14ac:dyDescent="0.2"/>
  <cols>
    <col min="1" max="1" width="0" hidden="1" customWidth="1"/>
    <col min="2" max="2" width="7" customWidth="1"/>
    <col min="3" max="3" width="50" customWidth="1"/>
    <col min="4" max="4" width="18" customWidth="1"/>
    <col min="5" max="5" width="15" customWidth="1"/>
    <col min="6" max="6" width="12" customWidth="1"/>
    <col min="7" max="12" width="13" hidden="1" customWidth="1"/>
    <col min="13" max="13" width="15" customWidth="1"/>
    <col min="14" max="14" width="15.28515625" customWidth="1"/>
  </cols>
  <sheetData>
    <row r="1" spans="1:14" ht="27.95" customHeight="1" x14ac:dyDescent="0.2">
      <c r="B1" s="28" t="s">
        <v>187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2.75" thickBot="1" x14ac:dyDescent="0.25"/>
    <row r="3" spans="1:14" ht="41.25" thickBot="1" x14ac:dyDescent="0.25">
      <c r="A3" s="1"/>
      <c r="B3" s="17" t="s">
        <v>0</v>
      </c>
      <c r="C3" s="18" t="s">
        <v>1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20" t="s">
        <v>11</v>
      </c>
      <c r="N3" s="20" t="s">
        <v>186</v>
      </c>
    </row>
    <row r="4" spans="1:14" ht="20.100000000000001" customHeight="1" thickBot="1" x14ac:dyDescent="0.25">
      <c r="B4" s="29" t="s">
        <v>188</v>
      </c>
      <c r="C4" s="30"/>
      <c r="D4" s="30"/>
      <c r="E4" s="31"/>
      <c r="F4" s="31"/>
      <c r="G4" s="32"/>
      <c r="H4" s="32"/>
      <c r="I4" s="32"/>
      <c r="J4" s="32"/>
      <c r="K4" s="32"/>
      <c r="L4" s="32"/>
      <c r="M4" s="32"/>
      <c r="N4" s="33"/>
    </row>
    <row r="5" spans="1:14" ht="24" x14ac:dyDescent="0.2">
      <c r="B5" s="21">
        <v>1</v>
      </c>
      <c r="C5" s="22" t="s">
        <v>12</v>
      </c>
      <c r="D5" s="22" t="s">
        <v>13</v>
      </c>
      <c r="E5" s="23">
        <v>0.12</v>
      </c>
      <c r="F5" s="23">
        <v>1</v>
      </c>
      <c r="G5" s="24">
        <f>1163.12105*E5*F5</f>
        <v>139.57452599999999</v>
      </c>
      <c r="H5" s="24">
        <f>495.488549*E5*F5</f>
        <v>59.458625879999992</v>
      </c>
      <c r="I5" s="24">
        <f t="shared" ref="I5:I41" si="0">0*E5*F5</f>
        <v>0</v>
      </c>
      <c r="J5" s="24">
        <f>1316.6530286*E5*F5</f>
        <v>157.99836343199999</v>
      </c>
      <c r="K5" s="24">
        <f>461.165707278*E5*F5</f>
        <v>55.339884873359999</v>
      </c>
      <c r="L5" s="24">
        <f>232.62421*E5*F5</f>
        <v>27.9149052</v>
      </c>
      <c r="M5" s="25">
        <f t="shared" ref="M5:M36" si="1">SUM(G5:L5)</f>
        <v>440.28630538536004</v>
      </c>
      <c r="N5" s="27">
        <f>M5/12/1470</f>
        <v>2.4959541121619046E-2</v>
      </c>
    </row>
    <row r="6" spans="1:14" x14ac:dyDescent="0.2">
      <c r="B6" s="21">
        <v>2</v>
      </c>
      <c r="C6" s="6" t="s">
        <v>14</v>
      </c>
      <c r="D6" s="6" t="s">
        <v>15</v>
      </c>
      <c r="E6" s="7">
        <v>0.02</v>
      </c>
      <c r="F6" s="7">
        <v>1</v>
      </c>
      <c r="G6" s="8">
        <f>2535.3705*E6*F6</f>
        <v>50.707410000000003</v>
      </c>
      <c r="H6" s="8">
        <f>14229.212507296*E6*F6</f>
        <v>284.58425014592001</v>
      </c>
      <c r="I6" s="8">
        <f t="shared" si="0"/>
        <v>0</v>
      </c>
      <c r="J6" s="8">
        <f>2870.039406*E6*F6</f>
        <v>57.400788120000001</v>
      </c>
      <c r="K6" s="8">
        <f>3043.3664740609*E6*F6</f>
        <v>60.867329481218007</v>
      </c>
      <c r="L6" s="8">
        <f>507.0741*E6*F6</f>
        <v>10.141482</v>
      </c>
      <c r="M6" s="26">
        <f t="shared" si="1"/>
        <v>463.70125974713801</v>
      </c>
      <c r="N6" s="27">
        <f t="shared" ref="N6:N60" si="2">M6/12/1470</f>
        <v>2.6286919486799207E-2</v>
      </c>
    </row>
    <row r="7" spans="1:14" ht="36" x14ac:dyDescent="0.2">
      <c r="B7" s="21">
        <v>3</v>
      </c>
      <c r="C7" s="6" t="s">
        <v>16</v>
      </c>
      <c r="D7" s="6" t="s">
        <v>17</v>
      </c>
      <c r="E7" s="7">
        <v>3.15</v>
      </c>
      <c r="F7" s="7">
        <v>1</v>
      </c>
      <c r="G7" s="8">
        <f>2675.4559*E7*F7</f>
        <v>8427.6860849999994</v>
      </c>
      <c r="H7" s="8">
        <f>2132.672293888*E7*F7</f>
        <v>6717.9177257471993</v>
      </c>
      <c r="I7" s="8">
        <f t="shared" si="0"/>
        <v>0</v>
      </c>
      <c r="J7" s="8">
        <f>3028.6160788*E7*F7</f>
        <v>9540.14064822</v>
      </c>
      <c r="K7" s="8">
        <f>1214.6953622666*E7*F7</f>
        <v>3826.2903911397893</v>
      </c>
      <c r="L7" s="8">
        <f>535.09118*E7*F7</f>
        <v>1685.5372170000001</v>
      </c>
      <c r="M7" s="26">
        <f t="shared" si="1"/>
        <v>30197.572067106987</v>
      </c>
      <c r="N7" s="27">
        <f t="shared" si="2"/>
        <v>1.711880502670464</v>
      </c>
    </row>
    <row r="8" spans="1:14" ht="24" x14ac:dyDescent="0.2">
      <c r="B8" s="21">
        <v>4</v>
      </c>
      <c r="C8" s="6" t="s">
        <v>18</v>
      </c>
      <c r="D8" s="6" t="s">
        <v>19</v>
      </c>
      <c r="E8" s="7">
        <v>1.4</v>
      </c>
      <c r="F8" s="7">
        <v>2</v>
      </c>
      <c r="G8" s="8">
        <f>44.912595*E8*F8</f>
        <v>125.75526600000001</v>
      </c>
      <c r="H8" s="8">
        <f t="shared" ref="H8:H14" si="3">0*E8*F8</f>
        <v>0</v>
      </c>
      <c r="I8" s="8">
        <f t="shared" si="0"/>
        <v>0</v>
      </c>
      <c r="J8" s="8">
        <f>50.84105754*E8*F8</f>
        <v>142.35496111199998</v>
      </c>
      <c r="K8" s="8">
        <f>14.8418161437*E8*F8</f>
        <v>41.557085202359993</v>
      </c>
      <c r="L8" s="8">
        <f>8.982519*E8*F8</f>
        <v>25.1510532</v>
      </c>
      <c r="M8" s="26">
        <f t="shared" si="1"/>
        <v>334.81836551435993</v>
      </c>
      <c r="N8" s="27">
        <f t="shared" si="2"/>
        <v>1.8980632965666662E-2</v>
      </c>
    </row>
    <row r="9" spans="1:14" ht="24" x14ac:dyDescent="0.2">
      <c r="B9" s="21">
        <v>5</v>
      </c>
      <c r="C9" s="6" t="s">
        <v>20</v>
      </c>
      <c r="D9" s="6" t="s">
        <v>19</v>
      </c>
      <c r="E9" s="7">
        <v>1.46</v>
      </c>
      <c r="F9" s="7">
        <v>2</v>
      </c>
      <c r="G9" s="8">
        <f>358.149155*E9*F9</f>
        <v>1045.7955325999999</v>
      </c>
      <c r="H9" s="8">
        <f t="shared" si="3"/>
        <v>0</v>
      </c>
      <c r="I9" s="8">
        <f t="shared" si="0"/>
        <v>0</v>
      </c>
      <c r="J9" s="8">
        <f>405.42484346*E9*F9</f>
        <v>1183.8405429032</v>
      </c>
      <c r="K9" s="8">
        <f>118.3539697613*E9*F9</f>
        <v>345.59359170299598</v>
      </c>
      <c r="L9" s="8">
        <f>71.629831*E9*F9</f>
        <v>209.15910651999999</v>
      </c>
      <c r="M9" s="26">
        <f t="shared" si="1"/>
        <v>2784.3887737261962</v>
      </c>
      <c r="N9" s="27">
        <f t="shared" si="2"/>
        <v>0.15784516857858255</v>
      </c>
    </row>
    <row r="10" spans="1:14" x14ac:dyDescent="0.2">
      <c r="B10" s="21">
        <v>6</v>
      </c>
      <c r="C10" s="6" t="s">
        <v>21</v>
      </c>
      <c r="D10" s="6" t="s">
        <v>22</v>
      </c>
      <c r="E10" s="7">
        <v>0.27</v>
      </c>
      <c r="F10" s="7">
        <v>2</v>
      </c>
      <c r="G10" s="8">
        <f>177.930805*E10*F10</f>
        <v>96.0826347</v>
      </c>
      <c r="H10" s="8">
        <f t="shared" si="3"/>
        <v>0</v>
      </c>
      <c r="I10" s="8">
        <f t="shared" si="0"/>
        <v>0</v>
      </c>
      <c r="J10" s="8">
        <f>201.41767126*E10*F10</f>
        <v>108.7655424804</v>
      </c>
      <c r="K10" s="8">
        <f>58.7990138203*E10*F10</f>
        <v>31.751467462962001</v>
      </c>
      <c r="L10" s="8">
        <f>35.586161*E10*F10</f>
        <v>19.216526940000001</v>
      </c>
      <c r="M10" s="26">
        <f t="shared" si="1"/>
        <v>255.81617158336201</v>
      </c>
      <c r="N10" s="27">
        <f t="shared" si="2"/>
        <v>1.450205054327449E-2</v>
      </c>
    </row>
    <row r="11" spans="1:14" x14ac:dyDescent="0.2">
      <c r="B11" s="21">
        <v>7</v>
      </c>
      <c r="C11" s="6" t="s">
        <v>23</v>
      </c>
      <c r="D11" s="6" t="s">
        <v>22</v>
      </c>
      <c r="E11" s="7">
        <v>0.27</v>
      </c>
      <c r="F11" s="7">
        <v>2</v>
      </c>
      <c r="G11" s="8">
        <f>145.46168*E11*F11</f>
        <v>78.549307200000001</v>
      </c>
      <c r="H11" s="8">
        <f t="shared" si="3"/>
        <v>0</v>
      </c>
      <c r="I11" s="8">
        <f t="shared" si="0"/>
        <v>0</v>
      </c>
      <c r="J11" s="8">
        <f>164.66262176*E11*F11</f>
        <v>88.91781575040001</v>
      </c>
      <c r="K11" s="8">
        <f>48.0692667728*E11*F11</f>
        <v>25.957404057312001</v>
      </c>
      <c r="L11" s="8">
        <f>29.092336*E11*F11</f>
        <v>15.709861440000001</v>
      </c>
      <c r="M11" s="26">
        <f t="shared" si="1"/>
        <v>209.13438844771201</v>
      </c>
      <c r="N11" s="27">
        <f t="shared" si="2"/>
        <v>1.1855690955085714E-2</v>
      </c>
    </row>
    <row r="12" spans="1:14" ht="24" x14ac:dyDescent="0.2">
      <c r="B12" s="21">
        <v>8</v>
      </c>
      <c r="C12" s="6" t="s">
        <v>24</v>
      </c>
      <c r="D12" s="6" t="s">
        <v>19</v>
      </c>
      <c r="E12" s="7">
        <v>0.42</v>
      </c>
      <c r="F12" s="7">
        <v>2</v>
      </c>
      <c r="G12" s="8">
        <f>519.506*E12*F12</f>
        <v>436.38503999999995</v>
      </c>
      <c r="H12" s="8">
        <f t="shared" si="3"/>
        <v>0</v>
      </c>
      <c r="I12" s="8">
        <f t="shared" si="0"/>
        <v>0</v>
      </c>
      <c r="J12" s="8">
        <f>588.080792*E12*F12</f>
        <v>493.98786527999994</v>
      </c>
      <c r="K12" s="8">
        <f>171.67595276*E12*F12</f>
        <v>144.20780031839999</v>
      </c>
      <c r="L12" s="8">
        <f>103.9012*E12*F12</f>
        <v>87.277007999999995</v>
      </c>
      <c r="M12" s="26">
        <f t="shared" si="1"/>
        <v>1161.8577135983999</v>
      </c>
      <c r="N12" s="27">
        <f t="shared" si="2"/>
        <v>6.5864949750476187E-2</v>
      </c>
    </row>
    <row r="13" spans="1:14" x14ac:dyDescent="0.2">
      <c r="B13" s="21">
        <v>9</v>
      </c>
      <c r="C13" s="6" t="s">
        <v>25</v>
      </c>
      <c r="D13" s="6" t="s">
        <v>26</v>
      </c>
      <c r="E13" s="7">
        <v>1.76</v>
      </c>
      <c r="F13" s="7">
        <v>1</v>
      </c>
      <c r="G13" s="8">
        <f>389.6295*E13*F13</f>
        <v>685.74792000000002</v>
      </c>
      <c r="H13" s="8">
        <f t="shared" si="3"/>
        <v>0</v>
      </c>
      <c r="I13" s="8">
        <f t="shared" si="0"/>
        <v>0</v>
      </c>
      <c r="J13" s="8">
        <f>441.060594*E13*F13</f>
        <v>776.26664543999993</v>
      </c>
      <c r="K13" s="8">
        <f>128.75696457*E13*F13</f>
        <v>226.61225764320002</v>
      </c>
      <c r="L13" s="8">
        <f>77.9259*E13*F13</f>
        <v>137.149584</v>
      </c>
      <c r="M13" s="26">
        <f t="shared" si="1"/>
        <v>1825.7764070832</v>
      </c>
      <c r="N13" s="27">
        <f t="shared" si="2"/>
        <v>0.10350206389360544</v>
      </c>
    </row>
    <row r="14" spans="1:14" x14ac:dyDescent="0.2">
      <c r="B14" s="21">
        <v>10</v>
      </c>
      <c r="C14" s="6" t="s">
        <v>27</v>
      </c>
      <c r="D14" s="6" t="s">
        <v>28</v>
      </c>
      <c r="E14" s="7">
        <v>9.68</v>
      </c>
      <c r="F14" s="7">
        <v>2</v>
      </c>
      <c r="G14" s="8">
        <f>112.992555*E14*F14</f>
        <v>2187.5358647999997</v>
      </c>
      <c r="H14" s="8">
        <f t="shared" si="3"/>
        <v>0</v>
      </c>
      <c r="I14" s="8">
        <f t="shared" si="0"/>
        <v>0</v>
      </c>
      <c r="J14" s="8">
        <f>127.90757226*E14*F14</f>
        <v>2476.2905989535998</v>
      </c>
      <c r="K14" s="8">
        <f>37.3395197253*E14*F14</f>
        <v>722.89310188180798</v>
      </c>
      <c r="L14" s="8">
        <f>22.598511*E14*F14</f>
        <v>437.50717295999993</v>
      </c>
      <c r="M14" s="26">
        <f t="shared" si="1"/>
        <v>5824.2267385954074</v>
      </c>
      <c r="N14" s="27">
        <f t="shared" si="2"/>
        <v>0.3301715838206013</v>
      </c>
    </row>
    <row r="15" spans="1:14" ht="36" x14ac:dyDescent="0.2">
      <c r="B15" s="21">
        <v>11</v>
      </c>
      <c r="C15" s="6" t="s">
        <v>29</v>
      </c>
      <c r="D15" s="6" t="s">
        <v>30</v>
      </c>
      <c r="E15" s="7">
        <v>0.18</v>
      </c>
      <c r="F15" s="7">
        <v>3</v>
      </c>
      <c r="G15" s="8">
        <f>4078.6395*E15*F15</f>
        <v>2202.46533</v>
      </c>
      <c r="H15" s="8">
        <f>649.379429*E15*F15</f>
        <v>350.66489165999997</v>
      </c>
      <c r="I15" s="8">
        <f t="shared" si="0"/>
        <v>0</v>
      </c>
      <c r="J15" s="8">
        <f>4617.019914*E15*F15</f>
        <v>2493.1907535600003</v>
      </c>
      <c r="K15" s="8">
        <f>1448.481020665*E15*F15</f>
        <v>782.17975115909996</v>
      </c>
      <c r="L15" s="8">
        <f>815.7279*E15*F15</f>
        <v>440.493066</v>
      </c>
      <c r="M15" s="26">
        <f t="shared" si="1"/>
        <v>6268.9937923791003</v>
      </c>
      <c r="N15" s="27">
        <f t="shared" si="2"/>
        <v>0.35538513562239793</v>
      </c>
    </row>
    <row r="16" spans="1:14" ht="24" x14ac:dyDescent="0.2">
      <c r="B16" s="21">
        <v>12</v>
      </c>
      <c r="C16" s="6" t="s">
        <v>31</v>
      </c>
      <c r="D16" s="6" t="s">
        <v>32</v>
      </c>
      <c r="E16" s="7">
        <v>1.379</v>
      </c>
      <c r="F16" s="7">
        <v>2</v>
      </c>
      <c r="G16" s="8">
        <f>483.6741*E16*F16</f>
        <v>1333.9731678000001</v>
      </c>
      <c r="H16" s="8">
        <f>0*E16*F16</f>
        <v>0</v>
      </c>
      <c r="I16" s="8">
        <f t="shared" si="0"/>
        <v>0</v>
      </c>
      <c r="J16" s="8">
        <f>547.5190812*E16*F16</f>
        <v>1510.0576259495999</v>
      </c>
      <c r="K16" s="8">
        <f>159.834943086*E16*F16</f>
        <v>440.82477303118804</v>
      </c>
      <c r="L16" s="8">
        <f>96.73482*E16*F16</f>
        <v>266.79463356000002</v>
      </c>
      <c r="M16" s="26">
        <f t="shared" si="1"/>
        <v>3551.6502003407882</v>
      </c>
      <c r="N16" s="27">
        <f t="shared" si="2"/>
        <v>0.20134071430503334</v>
      </c>
    </row>
    <row r="17" spans="2:14" ht="24" x14ac:dyDescent="0.2">
      <c r="B17" s="21">
        <v>13</v>
      </c>
      <c r="C17" s="6" t="s">
        <v>33</v>
      </c>
      <c r="D17" s="6" t="s">
        <v>32</v>
      </c>
      <c r="E17" s="7">
        <v>1.379</v>
      </c>
      <c r="F17" s="7">
        <v>2</v>
      </c>
      <c r="G17" s="8">
        <f>483.6741*E17*F17</f>
        <v>1333.9731678000001</v>
      </c>
      <c r="H17" s="8">
        <f>0*E17*F17</f>
        <v>0</v>
      </c>
      <c r="I17" s="8">
        <f t="shared" si="0"/>
        <v>0</v>
      </c>
      <c r="J17" s="8">
        <f>547.5190812*E17*F17</f>
        <v>1510.0576259495999</v>
      </c>
      <c r="K17" s="8">
        <f>159.834943086*E17*F17</f>
        <v>440.82477303118804</v>
      </c>
      <c r="L17" s="8">
        <f>96.73482*E17*F17</f>
        <v>266.79463356000002</v>
      </c>
      <c r="M17" s="26">
        <f t="shared" si="1"/>
        <v>3551.6502003407882</v>
      </c>
      <c r="N17" s="27">
        <f t="shared" si="2"/>
        <v>0.20134071430503334</v>
      </c>
    </row>
    <row r="18" spans="2:14" ht="24" x14ac:dyDescent="0.2">
      <c r="B18" s="21">
        <v>14</v>
      </c>
      <c r="C18" s="6" t="s">
        <v>34</v>
      </c>
      <c r="D18" s="6" t="s">
        <v>32</v>
      </c>
      <c r="E18" s="7">
        <v>1.379</v>
      </c>
      <c r="F18" s="7">
        <v>2</v>
      </c>
      <c r="G18" s="8">
        <f>483.6741*E18*F18</f>
        <v>1333.9731678000001</v>
      </c>
      <c r="H18" s="8">
        <f>0*E18*F18</f>
        <v>0</v>
      </c>
      <c r="I18" s="8">
        <f t="shared" si="0"/>
        <v>0</v>
      </c>
      <c r="J18" s="8">
        <f>547.5190812*E18*F18</f>
        <v>1510.0576259495999</v>
      </c>
      <c r="K18" s="8">
        <f>159.834943086*E18*F18</f>
        <v>440.82477303118804</v>
      </c>
      <c r="L18" s="8">
        <f>96.73482*E18*F18</f>
        <v>266.79463356000002</v>
      </c>
      <c r="M18" s="26">
        <f t="shared" si="1"/>
        <v>3551.6502003407882</v>
      </c>
      <c r="N18" s="27">
        <f t="shared" si="2"/>
        <v>0.20134071430503334</v>
      </c>
    </row>
    <row r="19" spans="2:14" ht="24" x14ac:dyDescent="0.2">
      <c r="B19" s="21">
        <v>15</v>
      </c>
      <c r="C19" s="6" t="s">
        <v>35</v>
      </c>
      <c r="D19" s="6" t="s">
        <v>36</v>
      </c>
      <c r="E19" s="7">
        <v>0.12</v>
      </c>
      <c r="F19" s="7">
        <v>12</v>
      </c>
      <c r="G19" s="8">
        <f>1168.8885*E19*F19</f>
        <v>1683.1994399999999</v>
      </c>
      <c r="H19" s="8">
        <f>0*E19*F19</f>
        <v>0</v>
      </c>
      <c r="I19" s="8">
        <f t="shared" si="0"/>
        <v>0</v>
      </c>
      <c r="J19" s="8">
        <f>1323.181782*E19*F19</f>
        <v>1905.38176608</v>
      </c>
      <c r="K19" s="8">
        <f>386.27089371*E19*F19</f>
        <v>556.23008694239991</v>
      </c>
      <c r="L19" s="8">
        <f>233.7777*E19*F19</f>
        <v>336.63988799999998</v>
      </c>
      <c r="M19" s="26">
        <f t="shared" si="1"/>
        <v>4481.4511810223994</v>
      </c>
      <c r="N19" s="27">
        <f t="shared" si="2"/>
        <v>0.25405052046612242</v>
      </c>
    </row>
    <row r="20" spans="2:14" x14ac:dyDescent="0.2">
      <c r="B20" s="21">
        <v>16</v>
      </c>
      <c r="C20" s="6" t="s">
        <v>37</v>
      </c>
      <c r="D20" s="6" t="s">
        <v>38</v>
      </c>
      <c r="E20" s="7">
        <v>0.12</v>
      </c>
      <c r="F20" s="7">
        <v>1</v>
      </c>
      <c r="G20" s="8">
        <f>575.8025*E20*F20</f>
        <v>69.096299999999999</v>
      </c>
      <c r="H20" s="8">
        <f>355.18944*E20*F20</f>
        <v>42.622732799999994</v>
      </c>
      <c r="I20" s="8">
        <f t="shared" si="0"/>
        <v>0</v>
      </c>
      <c r="J20" s="8">
        <f>651.80843*E20*F20</f>
        <v>78.217011600000006</v>
      </c>
      <c r="K20" s="8">
        <f>245.33405735*E20*F20</f>
        <v>29.440086881999999</v>
      </c>
      <c r="L20" s="8">
        <f>115.1605*E20*F20</f>
        <v>13.81926</v>
      </c>
      <c r="M20" s="26">
        <f t="shared" si="1"/>
        <v>233.195391282</v>
      </c>
      <c r="N20" s="27">
        <f t="shared" si="2"/>
        <v>1.3219693383333333E-2</v>
      </c>
    </row>
    <row r="21" spans="2:14" ht="24" x14ac:dyDescent="0.2">
      <c r="B21" s="21">
        <v>17</v>
      </c>
      <c r="C21" s="6" t="s">
        <v>39</v>
      </c>
      <c r="D21" s="6" t="s">
        <v>32</v>
      </c>
      <c r="E21" s="7">
        <v>1.47</v>
      </c>
      <c r="F21" s="7">
        <v>1</v>
      </c>
      <c r="G21" s="8">
        <f>1298.765*E21*F21</f>
        <v>1909.1845500000002</v>
      </c>
      <c r="H21" s="8">
        <f t="shared" ref="H21:H27" si="4">0*E21*F21</f>
        <v>0</v>
      </c>
      <c r="I21" s="8">
        <f t="shared" si="0"/>
        <v>0</v>
      </c>
      <c r="J21" s="8">
        <f>1470.20198*E21*F21</f>
        <v>2161.1969106000001</v>
      </c>
      <c r="K21" s="8">
        <f>429.1898819*E21*F21</f>
        <v>630.90912639299995</v>
      </c>
      <c r="L21" s="8">
        <f>259.753*E21*F21</f>
        <v>381.83690999999999</v>
      </c>
      <c r="M21" s="26">
        <f t="shared" si="1"/>
        <v>5083.127496993</v>
      </c>
      <c r="N21" s="27">
        <f t="shared" si="2"/>
        <v>0.28815915515833335</v>
      </c>
    </row>
    <row r="22" spans="2:14" ht="36" x14ac:dyDescent="0.2">
      <c r="B22" s="21">
        <v>18</v>
      </c>
      <c r="C22" s="6" t="s">
        <v>40</v>
      </c>
      <c r="D22" s="6" t="s">
        <v>41</v>
      </c>
      <c r="E22" s="7">
        <v>0.64</v>
      </c>
      <c r="F22" s="7">
        <v>12</v>
      </c>
      <c r="G22" s="8">
        <f>519.506*E22*F22</f>
        <v>3989.8060799999998</v>
      </c>
      <c r="H22" s="8">
        <f t="shared" si="4"/>
        <v>0</v>
      </c>
      <c r="I22" s="8">
        <f t="shared" si="0"/>
        <v>0</v>
      </c>
      <c r="J22" s="8">
        <f>588.080792*E22*F22</f>
        <v>4516.4604825599999</v>
      </c>
      <c r="K22" s="8">
        <f>171.67595276*E22*F22</f>
        <v>1318.4713171968001</v>
      </c>
      <c r="L22" s="8">
        <f>103.9012*E22*F22</f>
        <v>797.96121600000004</v>
      </c>
      <c r="M22" s="26">
        <f t="shared" si="1"/>
        <v>10622.6990957568</v>
      </c>
      <c r="N22" s="27">
        <f t="shared" si="2"/>
        <v>0.60219382629006801</v>
      </c>
    </row>
    <row r="23" spans="2:14" x14ac:dyDescent="0.2">
      <c r="B23" s="21">
        <v>19</v>
      </c>
      <c r="C23" s="6" t="s">
        <v>42</v>
      </c>
      <c r="D23" s="6" t="s">
        <v>43</v>
      </c>
      <c r="E23" s="7">
        <v>1</v>
      </c>
      <c r="F23" s="7">
        <v>2</v>
      </c>
      <c r="G23" s="8">
        <f>460.642*E23*F23</f>
        <v>921.28399999999999</v>
      </c>
      <c r="H23" s="8">
        <f t="shared" si="4"/>
        <v>0</v>
      </c>
      <c r="I23" s="8">
        <f t="shared" si="0"/>
        <v>0</v>
      </c>
      <c r="J23" s="8">
        <f>521.446744*E23*F23</f>
        <v>1042.8934879999999</v>
      </c>
      <c r="K23" s="8">
        <f>152.22375532*E23*F23</f>
        <v>304.44751064000002</v>
      </c>
      <c r="L23" s="8">
        <f>92.1284*E23*F23</f>
        <v>184.2568</v>
      </c>
      <c r="M23" s="26">
        <f t="shared" si="1"/>
        <v>2452.8817986399999</v>
      </c>
      <c r="N23" s="27">
        <f t="shared" si="2"/>
        <v>0.13905225615873015</v>
      </c>
    </row>
    <row r="24" spans="2:14" x14ac:dyDescent="0.2">
      <c r="B24" s="21">
        <v>20</v>
      </c>
      <c r="C24" s="6" t="s">
        <v>44</v>
      </c>
      <c r="D24" s="6" t="s">
        <v>45</v>
      </c>
      <c r="E24" s="7">
        <v>5.6</v>
      </c>
      <c r="F24" s="7">
        <v>2</v>
      </c>
      <c r="G24" s="8">
        <f>483.2399*E24*F24</f>
        <v>5412.2868799999997</v>
      </c>
      <c r="H24" s="8">
        <f t="shared" si="4"/>
        <v>0</v>
      </c>
      <c r="I24" s="8">
        <f t="shared" si="0"/>
        <v>0</v>
      </c>
      <c r="J24" s="8">
        <f>547.0275668*E24*F24</f>
        <v>6126.7087481600001</v>
      </c>
      <c r="K24" s="8">
        <f>159.691457354*E24*F24</f>
        <v>1788.5443223647999</v>
      </c>
      <c r="L24" s="8">
        <f>96.64798*E24*F24</f>
        <v>1082.4573760000001</v>
      </c>
      <c r="M24" s="26">
        <f t="shared" si="1"/>
        <v>14409.997326524799</v>
      </c>
      <c r="N24" s="27">
        <f t="shared" si="2"/>
        <v>0.81689327247873011</v>
      </c>
    </row>
    <row r="25" spans="2:14" x14ac:dyDescent="0.2">
      <c r="B25" s="21">
        <v>21</v>
      </c>
      <c r="C25" s="6" t="s">
        <v>46</v>
      </c>
      <c r="D25" s="6" t="s">
        <v>45</v>
      </c>
      <c r="E25" s="7">
        <v>5.6</v>
      </c>
      <c r="F25" s="7">
        <v>2</v>
      </c>
      <c r="G25" s="8">
        <f>453.95263186897*E25*F25</f>
        <v>5084.2694769324635</v>
      </c>
      <c r="H25" s="8">
        <f t="shared" si="4"/>
        <v>0</v>
      </c>
      <c r="I25" s="8">
        <f t="shared" si="0"/>
        <v>0</v>
      </c>
      <c r="J25" s="8">
        <f>513.87437927567*E25*F25</f>
        <v>5755.3930478875036</v>
      </c>
      <c r="K25" s="8">
        <f>150.01318672742*E25*F25</f>
        <v>1680.1476913471038</v>
      </c>
      <c r="L25" s="8">
        <f>90.790526373794*E25*F25</f>
        <v>1016.8538953864927</v>
      </c>
      <c r="M25" s="26">
        <f t="shared" si="1"/>
        <v>13536.664111553564</v>
      </c>
      <c r="N25" s="27">
        <f t="shared" si="2"/>
        <v>0.76738458682276445</v>
      </c>
    </row>
    <row r="26" spans="2:14" x14ac:dyDescent="0.2">
      <c r="B26" s="21">
        <v>22</v>
      </c>
      <c r="C26" s="6" t="s">
        <v>47</v>
      </c>
      <c r="D26" s="6" t="s">
        <v>45</v>
      </c>
      <c r="E26" s="7">
        <v>5.6</v>
      </c>
      <c r="F26" s="7">
        <v>1</v>
      </c>
      <c r="G26" s="8">
        <f>190.36723186897*E26*F26</f>
        <v>1066.0564984662319</v>
      </c>
      <c r="H26" s="8">
        <f t="shared" si="4"/>
        <v>0</v>
      </c>
      <c r="I26" s="8">
        <f t="shared" si="0"/>
        <v>0</v>
      </c>
      <c r="J26" s="8">
        <f>215.49570647567*E26*F26</f>
        <v>1206.7759562637521</v>
      </c>
      <c r="K26" s="8">
        <f>62.90875544342*E26*F26</f>
        <v>352.28903048315198</v>
      </c>
      <c r="L26" s="8">
        <f>38.073446373794*E26*F26</f>
        <v>213.21129969324639</v>
      </c>
      <c r="M26" s="26">
        <f t="shared" si="1"/>
        <v>2838.3327849063826</v>
      </c>
      <c r="N26" s="27">
        <f t="shared" si="2"/>
        <v>0.16090321909900127</v>
      </c>
    </row>
    <row r="27" spans="2:14" ht="24" x14ac:dyDescent="0.2">
      <c r="B27" s="21">
        <v>23</v>
      </c>
      <c r="C27" s="6" t="s">
        <v>48</v>
      </c>
      <c r="D27" s="6" t="s">
        <v>45</v>
      </c>
      <c r="E27" s="7">
        <v>0.7</v>
      </c>
      <c r="F27" s="7">
        <v>1</v>
      </c>
      <c r="G27" s="8">
        <f>17.57236*E27*F27</f>
        <v>12.300651999999999</v>
      </c>
      <c r="H27" s="8">
        <f t="shared" si="4"/>
        <v>0</v>
      </c>
      <c r="I27" s="8">
        <f t="shared" si="0"/>
        <v>0</v>
      </c>
      <c r="J27" s="8">
        <f>19.89191152*E27*F27</f>
        <v>13.924338064000001</v>
      </c>
      <c r="K27" s="8">
        <f>5.8069620856*E27*F27</f>
        <v>4.0648734599200003</v>
      </c>
      <c r="L27" s="8">
        <f>3.514472*E27*F27</f>
        <v>2.4601303999999997</v>
      </c>
      <c r="M27" s="26">
        <f t="shared" si="1"/>
        <v>32.749993923920002</v>
      </c>
      <c r="N27" s="27">
        <f t="shared" si="2"/>
        <v>1.8565756192698414E-3</v>
      </c>
    </row>
    <row r="28" spans="2:14" x14ac:dyDescent="0.2">
      <c r="B28" s="21">
        <v>24</v>
      </c>
      <c r="C28" s="6" t="s">
        <v>49</v>
      </c>
      <c r="D28" s="6" t="s">
        <v>45</v>
      </c>
      <c r="E28" s="7">
        <v>0.04</v>
      </c>
      <c r="F28" s="7">
        <v>1</v>
      </c>
      <c r="G28" s="8">
        <f>207.93959186897*E28*F28</f>
        <v>8.3175836747588008</v>
      </c>
      <c r="H28" s="8">
        <f>4551.12441092*E28*F28</f>
        <v>182.0449764368</v>
      </c>
      <c r="I28" s="8">
        <f t="shared" si="0"/>
        <v>0</v>
      </c>
      <c r="J28" s="8">
        <f>235.38761799567*E28*F28</f>
        <v>9.4155047198268011</v>
      </c>
      <c r="K28" s="8">
        <f>774.14000122162*E28*F28</f>
        <v>30.9656000488648</v>
      </c>
      <c r="L28" s="8">
        <f>41.587918373794*E28*F28</f>
        <v>1.6635167349517599</v>
      </c>
      <c r="M28" s="26">
        <f t="shared" si="1"/>
        <v>232.40718161520215</v>
      </c>
      <c r="N28" s="27">
        <f t="shared" si="2"/>
        <v>1.317501029564638E-2</v>
      </c>
    </row>
    <row r="29" spans="2:14" ht="24" x14ac:dyDescent="0.2">
      <c r="B29" s="21">
        <v>25</v>
      </c>
      <c r="C29" s="6" t="s">
        <v>50</v>
      </c>
      <c r="D29" s="6" t="s">
        <v>51</v>
      </c>
      <c r="E29" s="7">
        <v>56</v>
      </c>
      <c r="F29" s="7">
        <v>1</v>
      </c>
      <c r="G29" s="8">
        <f>106.591095*E29*F29</f>
        <v>5969.1013199999998</v>
      </c>
      <c r="H29" s="8">
        <f>9.8648*E29*F29</f>
        <v>552.42880000000002</v>
      </c>
      <c r="I29" s="8">
        <f t="shared" si="0"/>
        <v>0</v>
      </c>
      <c r="J29" s="8">
        <f>120.66111954*E29*F29</f>
        <v>6757.0226942400004</v>
      </c>
      <c r="K29" s="8">
        <f>36.7531372537*E29*F29</f>
        <v>2058.1756862071998</v>
      </c>
      <c r="L29" s="8">
        <f>21.318219*E29*F29</f>
        <v>1193.820264</v>
      </c>
      <c r="M29" s="26">
        <f t="shared" si="1"/>
        <v>16530.548764447201</v>
      </c>
      <c r="N29" s="27">
        <f t="shared" si="2"/>
        <v>0.93710593902761907</v>
      </c>
    </row>
    <row r="30" spans="2:14" ht="24" x14ac:dyDescent="0.2">
      <c r="B30" s="21">
        <v>26</v>
      </c>
      <c r="C30" s="6" t="s">
        <v>52</v>
      </c>
      <c r="D30" s="6" t="s">
        <v>53</v>
      </c>
      <c r="E30" s="7">
        <v>0.04</v>
      </c>
      <c r="F30" s="7">
        <v>1</v>
      </c>
      <c r="G30" s="8">
        <f>5527.704*E30*F30</f>
        <v>221.10816</v>
      </c>
      <c r="H30" s="8">
        <f>159.93969216*E30*F30</f>
        <v>6.3975876863999996</v>
      </c>
      <c r="I30" s="8">
        <f t="shared" si="0"/>
        <v>0</v>
      </c>
      <c r="J30" s="8">
        <f>6257.360928*E30*F30</f>
        <v>250.29443712</v>
      </c>
      <c r="K30" s="8">
        <f>1851.4757161248*E30*F30</f>
        <v>74.059028644992011</v>
      </c>
      <c r="L30" s="8">
        <f>1105.5408*E30*F30</f>
        <v>44.221632</v>
      </c>
      <c r="M30" s="26">
        <f t="shared" si="1"/>
        <v>596.08084545139207</v>
      </c>
      <c r="N30" s="27">
        <f t="shared" si="2"/>
        <v>3.3791431148038099E-2</v>
      </c>
    </row>
    <row r="31" spans="2:14" ht="24" x14ac:dyDescent="0.2">
      <c r="B31" s="21">
        <v>27</v>
      </c>
      <c r="C31" s="6" t="s">
        <v>54</v>
      </c>
      <c r="D31" s="6" t="s">
        <v>53</v>
      </c>
      <c r="E31" s="7">
        <v>0.04</v>
      </c>
      <c r="F31" s="7">
        <v>1</v>
      </c>
      <c r="G31" s="8">
        <f>8291.556*E31*F31</f>
        <v>331.66224000000005</v>
      </c>
      <c r="H31" s="8">
        <f>255.42043056*E31*F31</f>
        <v>10.2168172224</v>
      </c>
      <c r="I31" s="8">
        <f t="shared" si="0"/>
        <v>0</v>
      </c>
      <c r="J31" s="8">
        <f>9386.041392*E31*F31</f>
        <v>375.44165568</v>
      </c>
      <c r="K31" s="8">
        <f>2779.6177624968*E31*F31</f>
        <v>111.184710499872</v>
      </c>
      <c r="L31" s="8">
        <f>1658.3112*E31*F31</f>
        <v>66.332447999999999</v>
      </c>
      <c r="M31" s="26">
        <f t="shared" si="1"/>
        <v>894.83787140227207</v>
      </c>
      <c r="N31" s="27">
        <f t="shared" si="2"/>
        <v>5.0727770487657142E-2</v>
      </c>
    </row>
    <row r="32" spans="2:14" ht="24" x14ac:dyDescent="0.2">
      <c r="B32" s="21">
        <v>28</v>
      </c>
      <c r="C32" s="6" t="s">
        <v>55</v>
      </c>
      <c r="D32" s="6" t="s">
        <v>56</v>
      </c>
      <c r="E32" s="7">
        <v>0.16</v>
      </c>
      <c r="F32" s="7">
        <v>1</v>
      </c>
      <c r="G32" s="8">
        <f>6448.988*E32*F32</f>
        <v>1031.83808</v>
      </c>
      <c r="H32" s="8">
        <f>0*E32*F32</f>
        <v>0</v>
      </c>
      <c r="I32" s="8">
        <f t="shared" si="0"/>
        <v>0</v>
      </c>
      <c r="J32" s="8">
        <f>7300.254416*E32*F32</f>
        <v>1168.04070656</v>
      </c>
      <c r="K32" s="8">
        <f>2131.13257448*E32*F32</f>
        <v>340.98121191680002</v>
      </c>
      <c r="L32" s="8">
        <f>1289.7976*E32*F32</f>
        <v>206.36761600000003</v>
      </c>
      <c r="M32" s="26">
        <f t="shared" si="1"/>
        <v>2747.2276144767998</v>
      </c>
      <c r="N32" s="27">
        <f t="shared" si="2"/>
        <v>0.15573852689777776</v>
      </c>
    </row>
    <row r="33" spans="2:14" ht="24" x14ac:dyDescent="0.2">
      <c r="B33" s="21">
        <v>29</v>
      </c>
      <c r="C33" s="6" t="s">
        <v>57</v>
      </c>
      <c r="D33" s="6" t="s">
        <v>45</v>
      </c>
      <c r="E33" s="7">
        <v>0.08</v>
      </c>
      <c r="F33" s="7">
        <v>1</v>
      </c>
      <c r="G33" s="8">
        <f>3637.7055*E33*F33</f>
        <v>291.01643999999999</v>
      </c>
      <c r="H33" s="8">
        <f>2207.5690868*E33*F33</f>
        <v>176.60552694400002</v>
      </c>
      <c r="I33" s="8">
        <f t="shared" si="0"/>
        <v>0</v>
      </c>
      <c r="J33" s="8">
        <f>4117.882626*E33*F33</f>
        <v>329.43061007999995</v>
      </c>
      <c r="K33" s="8">
        <f>1544.289367984*E33*F33</f>
        <v>123.54314943871999</v>
      </c>
      <c r="L33" s="8">
        <f>727.5411*E33*F33</f>
        <v>58.203288000000001</v>
      </c>
      <c r="M33" s="26">
        <f t="shared" si="1"/>
        <v>978.79901446271992</v>
      </c>
      <c r="N33" s="27">
        <f t="shared" si="2"/>
        <v>5.5487472475210881E-2</v>
      </c>
    </row>
    <row r="34" spans="2:14" ht="24" x14ac:dyDescent="0.2">
      <c r="B34" s="21">
        <v>30</v>
      </c>
      <c r="C34" s="6" t="s">
        <v>58</v>
      </c>
      <c r="D34" s="6" t="s">
        <v>45</v>
      </c>
      <c r="E34" s="7">
        <v>0.12</v>
      </c>
      <c r="F34" s="7">
        <v>1</v>
      </c>
      <c r="G34" s="8">
        <f>3637.7055*E34*F34</f>
        <v>436.52465999999998</v>
      </c>
      <c r="H34" s="8">
        <f>4185.7803464*E34*F34</f>
        <v>502.29364156799994</v>
      </c>
      <c r="I34" s="8">
        <f t="shared" si="0"/>
        <v>0</v>
      </c>
      <c r="J34" s="8">
        <f>4117.882626*E34*F34</f>
        <v>494.14591511999993</v>
      </c>
      <c r="K34" s="8">
        <f>1850.912113222*E34*F34</f>
        <v>222.10945358664</v>
      </c>
      <c r="L34" s="8">
        <f>727.5411*E34*F34</f>
        <v>87.304931999999994</v>
      </c>
      <c r="M34" s="26">
        <f t="shared" si="1"/>
        <v>1742.3786022746399</v>
      </c>
      <c r="N34" s="27">
        <f t="shared" si="2"/>
        <v>9.8774297181102047E-2</v>
      </c>
    </row>
    <row r="35" spans="2:14" ht="60" x14ac:dyDescent="0.2">
      <c r="B35" s="21">
        <v>31</v>
      </c>
      <c r="C35" s="6" t="s">
        <v>59</v>
      </c>
      <c r="D35" s="6" t="s">
        <v>60</v>
      </c>
      <c r="E35" s="7">
        <v>1.47</v>
      </c>
      <c r="F35" s="7">
        <v>3</v>
      </c>
      <c r="G35" s="8">
        <f>1432.93956*E35*F35</f>
        <v>6319.2634595999998</v>
      </c>
      <c r="H35" s="8">
        <f>0*E35*F35</f>
        <v>0</v>
      </c>
      <c r="I35" s="8">
        <f t="shared" si="0"/>
        <v>0</v>
      </c>
      <c r="J35" s="8">
        <f>1622.08758192*E35*F35</f>
        <v>7153.4062362671993</v>
      </c>
      <c r="K35" s="8">
        <f>473.5292069976*E35*F35</f>
        <v>2088.263802859416</v>
      </c>
      <c r="L35" s="8">
        <f>286.587912*E35*F35</f>
        <v>1263.8526919200001</v>
      </c>
      <c r="M35" s="26">
        <f t="shared" si="1"/>
        <v>16824.786190646617</v>
      </c>
      <c r="N35" s="27">
        <f t="shared" si="2"/>
        <v>0.95378606522940002</v>
      </c>
    </row>
    <row r="36" spans="2:14" ht="36" x14ac:dyDescent="0.2">
      <c r="B36" s="21">
        <v>32</v>
      </c>
      <c r="C36" s="6" t="s">
        <v>61</v>
      </c>
      <c r="D36" s="6" t="s">
        <v>62</v>
      </c>
      <c r="E36" s="7">
        <v>2.4</v>
      </c>
      <c r="F36" s="7">
        <v>52</v>
      </c>
      <c r="G36" s="8">
        <f>78.979875*E36*F36</f>
        <v>9856.6884000000009</v>
      </c>
      <c r="H36" s="8">
        <f>2.283616920742*E36*F36</f>
        <v>284.99539170860157</v>
      </c>
      <c r="I36" s="8">
        <f t="shared" si="0"/>
        <v>0</v>
      </c>
      <c r="J36" s="8">
        <f>89.4052185*E36*F36</f>
        <v>11157.771268799999</v>
      </c>
      <c r="K36" s="8">
        <f>26.453650115215*E36*F36</f>
        <v>3301.415534378832</v>
      </c>
      <c r="L36" s="8">
        <f>15.795975*E36*F36</f>
        <v>1971.3376799999999</v>
      </c>
      <c r="M36" s="26">
        <f t="shared" si="1"/>
        <v>26572.208274887438</v>
      </c>
      <c r="N36" s="27">
        <f t="shared" si="2"/>
        <v>1.5063610133156144</v>
      </c>
    </row>
    <row r="37" spans="2:14" ht="24" x14ac:dyDescent="0.2">
      <c r="B37" s="21">
        <v>33</v>
      </c>
      <c r="C37" s="6" t="s">
        <v>63</v>
      </c>
      <c r="D37" s="6" t="s">
        <v>62</v>
      </c>
      <c r="E37" s="7">
        <v>2.4</v>
      </c>
      <c r="F37" s="7">
        <v>24</v>
      </c>
      <c r="G37" s="8">
        <f>191.30680868435*E37*F37</f>
        <v>11019.272180218559</v>
      </c>
      <c r="H37" s="8">
        <f>51.840649341338*E37*F37</f>
        <v>2986.0214020610683</v>
      </c>
      <c r="I37" s="8">
        <f t="shared" si="0"/>
        <v>0</v>
      </c>
      <c r="J37" s="8">
        <f>216.55930743069*E37*F37</f>
        <v>12473.816108007744</v>
      </c>
      <c r="K37" s="8">
        <f>71.254548645739*E37*F37</f>
        <v>4104.2620019945662</v>
      </c>
      <c r="L37" s="8">
        <f>38.261361736871*E37*F37</f>
        <v>2203.85443604377</v>
      </c>
      <c r="M37" s="26">
        <f t="shared" ref="M37:M60" si="5">SUM(G37:L37)</f>
        <v>32787.22612832571</v>
      </c>
      <c r="N37" s="27">
        <f t="shared" si="2"/>
        <v>1.8586862884538387</v>
      </c>
    </row>
    <row r="38" spans="2:14" x14ac:dyDescent="0.2">
      <c r="B38" s="21">
        <v>34</v>
      </c>
      <c r="C38" s="6" t="s">
        <v>64</v>
      </c>
      <c r="D38" s="6" t="s">
        <v>65</v>
      </c>
      <c r="E38" s="7">
        <v>4</v>
      </c>
      <c r="F38" s="7">
        <v>1</v>
      </c>
      <c r="G38" s="8">
        <f>40.93160532357*E38*F38</f>
        <v>163.72642129427999</v>
      </c>
      <c r="H38" s="8">
        <f>116.938*E38*F38</f>
        <v>467.75200000000001</v>
      </c>
      <c r="I38" s="8">
        <f t="shared" si="0"/>
        <v>0</v>
      </c>
      <c r="J38" s="8">
        <f>46.334577226281*E38*F38</f>
        <v>185.33830890512399</v>
      </c>
      <c r="K38" s="8">
        <f>31.651648295227*E38*F38</f>
        <v>126.60659318090801</v>
      </c>
      <c r="L38" s="8">
        <f>8.186321064714*E38*F38</f>
        <v>32.745284258856003</v>
      </c>
      <c r="M38" s="26">
        <f t="shared" si="5"/>
        <v>976.16860763916804</v>
      </c>
      <c r="N38" s="27">
        <f t="shared" si="2"/>
        <v>5.5338356442129713E-2</v>
      </c>
    </row>
    <row r="39" spans="2:14" x14ac:dyDescent="0.2">
      <c r="B39" s="21">
        <v>35</v>
      </c>
      <c r="C39" s="6" t="s">
        <v>66</v>
      </c>
      <c r="D39" s="6" t="s">
        <v>65</v>
      </c>
      <c r="E39" s="7">
        <v>4</v>
      </c>
      <c r="F39" s="7">
        <v>1</v>
      </c>
      <c r="G39" s="8">
        <f>69.89112*E39*F39</f>
        <v>279.56448</v>
      </c>
      <c r="H39" s="8">
        <f>116.938*E39*F39</f>
        <v>467.75200000000001</v>
      </c>
      <c r="I39" s="8">
        <f t="shared" si="0"/>
        <v>0</v>
      </c>
      <c r="J39" s="8">
        <f>79.11674784*E39*F39</f>
        <v>316.46699136000001</v>
      </c>
      <c r="K39" s="8">
        <f>41.2216095152*E39*F39</f>
        <v>164.8864380608</v>
      </c>
      <c r="L39" s="8">
        <f>13.978224*E39*F39</f>
        <v>55.912896000000003</v>
      </c>
      <c r="M39" s="26">
        <f t="shared" si="5"/>
        <v>1284.5828054208</v>
      </c>
      <c r="N39" s="27">
        <f t="shared" si="2"/>
        <v>7.2822154502312927E-2</v>
      </c>
    </row>
    <row r="40" spans="2:14" ht="24" x14ac:dyDescent="0.2">
      <c r="B40" s="21">
        <v>36</v>
      </c>
      <c r="C40" s="6" t="s">
        <v>67</v>
      </c>
      <c r="D40" s="6" t="s">
        <v>68</v>
      </c>
      <c r="E40" s="7">
        <v>0.42</v>
      </c>
      <c r="F40" s="7">
        <v>52</v>
      </c>
      <c r="G40" s="8">
        <f>129.10443*E40*F40</f>
        <v>2819.6407512000001</v>
      </c>
      <c r="H40" s="8">
        <f>3.176088*E40*F40</f>
        <v>69.365761919999997</v>
      </c>
      <c r="I40" s="8">
        <f t="shared" si="0"/>
        <v>0</v>
      </c>
      <c r="J40" s="8">
        <f>146.14621476*E40*F40</f>
        <v>3191.8333303584</v>
      </c>
      <c r="K40" s="8">
        <f>43.1561435778*E40*F40</f>
        <v>942.5301757391519</v>
      </c>
      <c r="L40" s="8">
        <f>25.820886*E40*F40</f>
        <v>563.92815024000004</v>
      </c>
      <c r="M40" s="26">
        <f t="shared" si="5"/>
        <v>7587.298169457551</v>
      </c>
      <c r="N40" s="27">
        <f t="shared" si="2"/>
        <v>0.43011894384679994</v>
      </c>
    </row>
    <row r="41" spans="2:14" x14ac:dyDescent="0.2">
      <c r="B41" s="21">
        <v>37</v>
      </c>
      <c r="C41" s="6" t="s">
        <v>69</v>
      </c>
      <c r="D41" s="6" t="s">
        <v>70</v>
      </c>
      <c r="E41" s="7">
        <v>1.2E-2</v>
      </c>
      <c r="F41" s="7">
        <v>6</v>
      </c>
      <c r="G41" s="8">
        <f>12457.12143*E41*F41</f>
        <v>896.91274295999983</v>
      </c>
      <c r="H41" s="8">
        <f>81.5616*E41*F41</f>
        <v>5.8724352</v>
      </c>
      <c r="I41" s="8">
        <f t="shared" si="0"/>
        <v>0</v>
      </c>
      <c r="J41" s="8">
        <f>14101.46145876*E41*F41</f>
        <v>1015.3052250307201</v>
      </c>
      <c r="K41" s="8">
        <f>4129.2223957578*E41*F41</f>
        <v>297.30401249456156</v>
      </c>
      <c r="L41" s="8">
        <f>2491.424286*E41*F41</f>
        <v>179.38254859200001</v>
      </c>
      <c r="M41" s="26">
        <f t="shared" si="5"/>
        <v>2394.7769642772814</v>
      </c>
      <c r="N41" s="27">
        <f t="shared" si="2"/>
        <v>0.13575833130823589</v>
      </c>
    </row>
    <row r="42" spans="2:14" x14ac:dyDescent="0.2">
      <c r="B42" s="21">
        <v>38</v>
      </c>
      <c r="C42" s="6" t="s">
        <v>71</v>
      </c>
      <c r="D42" s="6" t="s">
        <v>72</v>
      </c>
      <c r="E42" s="7">
        <v>2</v>
      </c>
      <c r="F42" s="7">
        <v>2</v>
      </c>
      <c r="G42" s="8">
        <f>112.85729*E42*F42</f>
        <v>451.42916000000002</v>
      </c>
      <c r="H42" s="8">
        <f>69.49261664*E42*F42</f>
        <v>277.97046655999998</v>
      </c>
      <c r="I42" s="8">
        <f>44.022375*E42*F42</f>
        <v>176.08949999999999</v>
      </c>
      <c r="J42" s="8">
        <f>127.75445228*E42*F42</f>
        <v>511.01780911999998</v>
      </c>
      <c r="K42" s="8">
        <f>54.8896437576*E42*F42</f>
        <v>219.55857503039999</v>
      </c>
      <c r="L42" s="8">
        <f>22.571458*E42*F42</f>
        <v>90.285831999999999</v>
      </c>
      <c r="M42" s="26">
        <f t="shared" si="5"/>
        <v>1726.3513427103999</v>
      </c>
      <c r="N42" s="27">
        <f t="shared" si="2"/>
        <v>9.7865722375873015E-2</v>
      </c>
    </row>
    <row r="43" spans="2:14" x14ac:dyDescent="0.2">
      <c r="B43" s="21">
        <v>39</v>
      </c>
      <c r="C43" s="6" t="s">
        <v>73</v>
      </c>
      <c r="D43" s="6" t="s">
        <v>74</v>
      </c>
      <c r="E43" s="7">
        <v>0.03</v>
      </c>
      <c r="F43" s="7">
        <v>156</v>
      </c>
      <c r="G43" s="8">
        <f>771.71445*E43*F43</f>
        <v>3611.6236260000001</v>
      </c>
      <c r="H43" s="8">
        <f>5.0976*E43*F43</f>
        <v>23.856767999999995</v>
      </c>
      <c r="I43" s="8">
        <f>0*E43*F43</f>
        <v>0</v>
      </c>
      <c r="J43" s="8">
        <f>873.5807574*E43*F43</f>
        <v>4088.357944632</v>
      </c>
      <c r="K43" s="8">
        <f>255.810885147*E43*F43</f>
        <v>1197.1949424879599</v>
      </c>
      <c r="L43" s="8">
        <f>154.34289*E43*F43</f>
        <v>722.32472519999999</v>
      </c>
      <c r="M43" s="26">
        <f t="shared" si="5"/>
        <v>9643.3580063199606</v>
      </c>
      <c r="N43" s="27">
        <f t="shared" si="2"/>
        <v>0.54667562394104086</v>
      </c>
    </row>
    <row r="44" spans="2:14" x14ac:dyDescent="0.2">
      <c r="B44" s="21">
        <v>40</v>
      </c>
      <c r="C44" s="6" t="s">
        <v>75</v>
      </c>
      <c r="D44" s="6" t="s">
        <v>76</v>
      </c>
      <c r="E44" s="7">
        <v>0.03</v>
      </c>
      <c r="F44" s="7">
        <v>1</v>
      </c>
      <c r="G44" s="8">
        <f>17055.4475*E44*F44</f>
        <v>511.66342499999996</v>
      </c>
      <c r="H44" s="8">
        <f>0*E44*F44</f>
        <v>0</v>
      </c>
      <c r="I44" s="8">
        <f>144837.456*E44*F44</f>
        <v>4345.1236799999997</v>
      </c>
      <c r="J44" s="8">
        <f>57681.97409*E44*F44</f>
        <v>1730.4592227000001</v>
      </c>
      <c r="K44" s="8">
        <f>34034.10602645*E44*F44</f>
        <v>1021.0231807934999</v>
      </c>
      <c r="L44" s="8">
        <f>10191.1615*E44*F44</f>
        <v>305.73484500000001</v>
      </c>
      <c r="M44" s="26">
        <f t="shared" si="5"/>
        <v>7914.0043534934994</v>
      </c>
      <c r="N44" s="27">
        <f t="shared" si="2"/>
        <v>0.4486397025789966</v>
      </c>
    </row>
    <row r="45" spans="2:14" x14ac:dyDescent="0.2">
      <c r="B45" s="21">
        <v>41</v>
      </c>
      <c r="C45" s="6" t="s">
        <v>77</v>
      </c>
      <c r="D45" s="6" t="s">
        <v>76</v>
      </c>
      <c r="E45" s="7">
        <v>0.03</v>
      </c>
      <c r="F45" s="7">
        <v>1</v>
      </c>
      <c r="G45" s="8">
        <f>8637.0375*E45*F45</f>
        <v>259.11112500000002</v>
      </c>
      <c r="H45" s="8">
        <f>0*E45*F45</f>
        <v>0</v>
      </c>
      <c r="I45" s="8">
        <f t="shared" ref="I45:I56" si="6">0*E45*F45</f>
        <v>0</v>
      </c>
      <c r="J45" s="8">
        <f>9777.12645*E45*F45</f>
        <v>293.31379349999997</v>
      </c>
      <c r="K45" s="8">
        <f>2854.19541225*E45*F45</f>
        <v>85.625862367500005</v>
      </c>
      <c r="L45" s="8">
        <f>1727.4075*E45*F45</f>
        <v>51.822224999999996</v>
      </c>
      <c r="M45" s="26">
        <f t="shared" si="5"/>
        <v>689.87300586749996</v>
      </c>
      <c r="N45" s="27">
        <f t="shared" si="2"/>
        <v>3.9108447044642856E-2</v>
      </c>
    </row>
    <row r="46" spans="2:14" ht="36" x14ac:dyDescent="0.2">
      <c r="B46" s="21">
        <v>42</v>
      </c>
      <c r="C46" s="6" t="s">
        <v>78</v>
      </c>
      <c r="D46" s="6" t="s">
        <v>79</v>
      </c>
      <c r="E46" s="7">
        <v>4.2000000000000003E-2</v>
      </c>
      <c r="F46" s="7">
        <v>70</v>
      </c>
      <c r="G46" s="8">
        <f>2264.66643*E46*F46</f>
        <v>6658.1193042000014</v>
      </c>
      <c r="H46" s="8">
        <f>66.604982*E46*F46</f>
        <v>195.81864708000001</v>
      </c>
      <c r="I46" s="8">
        <f t="shared" si="6"/>
        <v>0</v>
      </c>
      <c r="J46" s="8">
        <f>2563.60239876*E46*F46</f>
        <v>7536.9910523544013</v>
      </c>
      <c r="K46" s="8">
        <f>758.7054406678*E46*F46</f>
        <v>2230.5939955633321</v>
      </c>
      <c r="L46" s="8">
        <f>452.933286*E46*F46</f>
        <v>1331.6238608400001</v>
      </c>
      <c r="M46" s="26">
        <f t="shared" si="5"/>
        <v>17953.146860037737</v>
      </c>
      <c r="N46" s="27">
        <f t="shared" si="2"/>
        <v>1.0177520895713004</v>
      </c>
    </row>
    <row r="47" spans="2:14" ht="36" x14ac:dyDescent="0.2">
      <c r="B47" s="21">
        <v>43</v>
      </c>
      <c r="C47" s="6" t="s">
        <v>80</v>
      </c>
      <c r="D47" s="6" t="s">
        <v>79</v>
      </c>
      <c r="E47" s="7">
        <v>4.2000000000000003E-2</v>
      </c>
      <c r="F47" s="7">
        <v>15</v>
      </c>
      <c r="G47" s="8">
        <f>9869.20857*E47*F47</f>
        <v>6217.6013991000009</v>
      </c>
      <c r="H47" s="8">
        <f>236.28792*E47*F47</f>
        <v>148.86138960000002</v>
      </c>
      <c r="I47" s="8">
        <f t="shared" si="6"/>
        <v>0</v>
      </c>
      <c r="J47" s="8">
        <f>11171.94410124*E47*F47</f>
        <v>7038.3247837812005</v>
      </c>
      <c r="K47" s="8">
        <f>3298.0032916422*E47*F47</f>
        <v>2077.7420737345865</v>
      </c>
      <c r="L47" s="8">
        <f>1973.841714*E47*F47</f>
        <v>1243.52027982</v>
      </c>
      <c r="M47" s="26">
        <f t="shared" si="5"/>
        <v>16726.049926035786</v>
      </c>
      <c r="N47" s="27">
        <f t="shared" si="2"/>
        <v>0.94818877131722146</v>
      </c>
    </row>
    <row r="48" spans="2:14" ht="36" x14ac:dyDescent="0.2">
      <c r="B48" s="21">
        <v>44</v>
      </c>
      <c r="C48" s="6" t="s">
        <v>81</v>
      </c>
      <c r="D48" s="6" t="s">
        <v>79</v>
      </c>
      <c r="E48" s="7">
        <v>4.2000000000000003E-2</v>
      </c>
      <c r="F48" s="7">
        <v>1</v>
      </c>
      <c r="G48" s="8">
        <f>68758.30143*E48*F48</f>
        <v>2887.8486600600004</v>
      </c>
      <c r="H48" s="8">
        <f>167.79128*E48*F48</f>
        <v>7.0472337600000001</v>
      </c>
      <c r="I48" s="8">
        <f t="shared" si="6"/>
        <v>0</v>
      </c>
      <c r="J48" s="8">
        <f>77834.39721876*E48*F48</f>
        <v>3269.0446831879203</v>
      </c>
      <c r="K48" s="8">
        <f>22747.875938958*E48*F48</f>
        <v>955.41078943623609</v>
      </c>
      <c r="L48" s="8">
        <f>13751.660286*E48*F48</f>
        <v>577.56973201200003</v>
      </c>
      <c r="M48" s="26">
        <f t="shared" si="5"/>
        <v>7696.9210984561569</v>
      </c>
      <c r="N48" s="27">
        <f t="shared" si="2"/>
        <v>0.43633339560409051</v>
      </c>
    </row>
    <row r="49" spans="2:14" x14ac:dyDescent="0.2">
      <c r="B49" s="21">
        <v>45</v>
      </c>
      <c r="C49" s="6" t="s">
        <v>82</v>
      </c>
      <c r="D49" s="6" t="s">
        <v>83</v>
      </c>
      <c r="E49" s="7">
        <v>0.5</v>
      </c>
      <c r="F49" s="7">
        <v>1</v>
      </c>
      <c r="G49" s="8">
        <f>80.860143*E49*F49</f>
        <v>40.430071499999997</v>
      </c>
      <c r="H49" s="8">
        <f>0*E49*F49</f>
        <v>0</v>
      </c>
      <c r="I49" s="8">
        <f t="shared" si="6"/>
        <v>0</v>
      </c>
      <c r="J49" s="8">
        <f>91.533681876*E49*F49</f>
        <v>45.766840938000001</v>
      </c>
      <c r="K49" s="8">
        <f>26.72104285578*E49*F49</f>
        <v>13.360521427889999</v>
      </c>
      <c r="L49" s="8">
        <f>16.1720286*E49*F49</f>
        <v>8.0860143000000004</v>
      </c>
      <c r="M49" s="26">
        <f t="shared" si="5"/>
        <v>107.64344816589001</v>
      </c>
      <c r="N49" s="27">
        <f t="shared" si="2"/>
        <v>6.102236290583333E-3</v>
      </c>
    </row>
    <row r="50" spans="2:14" x14ac:dyDescent="0.2">
      <c r="B50" s="21">
        <v>46</v>
      </c>
      <c r="C50" s="6" t="s">
        <v>84</v>
      </c>
      <c r="D50" s="6" t="s">
        <v>85</v>
      </c>
      <c r="E50" s="7">
        <v>0.06</v>
      </c>
      <c r="F50" s="7">
        <v>46</v>
      </c>
      <c r="G50" s="8">
        <f>20.967336*E50*F50</f>
        <v>57.869847360000001</v>
      </c>
      <c r="H50" s="8">
        <f>673.518453*E50*F50</f>
        <v>1858.91093028</v>
      </c>
      <c r="I50" s="8">
        <f t="shared" si="6"/>
        <v>0</v>
      </c>
      <c r="J50" s="8">
        <f>23.735024352*E50*F50</f>
        <v>65.508667211520006</v>
      </c>
      <c r="K50" s="8">
        <f>111.32422606956*E50*F50</f>
        <v>307.25486395198561</v>
      </c>
      <c r="L50" s="8">
        <f>4.1934672*E50*F50</f>
        <v>11.573969472</v>
      </c>
      <c r="M50" s="26">
        <f t="shared" si="5"/>
        <v>2301.1182782755059</v>
      </c>
      <c r="N50" s="27">
        <f t="shared" si="2"/>
        <v>0.13044888198840734</v>
      </c>
    </row>
    <row r="51" spans="2:14" x14ac:dyDescent="0.2">
      <c r="B51" s="21">
        <v>47</v>
      </c>
      <c r="C51" s="6" t="s">
        <v>86</v>
      </c>
      <c r="D51" s="6" t="s">
        <v>87</v>
      </c>
      <c r="E51" s="7">
        <v>1.147</v>
      </c>
      <c r="F51" s="7">
        <v>6</v>
      </c>
      <c r="G51" s="8">
        <f>291.213*E51*F51</f>
        <v>2004.1278660000003</v>
      </c>
      <c r="H51" s="8">
        <f>0*E51*F51</f>
        <v>0</v>
      </c>
      <c r="I51" s="8">
        <f t="shared" si="6"/>
        <v>0</v>
      </c>
      <c r="J51" s="8">
        <f>329.653116*E51*F51</f>
        <v>2268.6727443119998</v>
      </c>
      <c r="K51" s="8">
        <f>96.23424798*E51*F51</f>
        <v>662.28409459836007</v>
      </c>
      <c r="L51" s="8">
        <f>58.2426*E51*F51</f>
        <v>400.82557320000006</v>
      </c>
      <c r="M51" s="26">
        <f t="shared" si="5"/>
        <v>5335.9102781103602</v>
      </c>
      <c r="N51" s="27">
        <f t="shared" si="2"/>
        <v>0.30248924479083672</v>
      </c>
    </row>
    <row r="52" spans="2:14" ht="24" x14ac:dyDescent="0.2">
      <c r="B52" s="21">
        <v>48</v>
      </c>
      <c r="C52" s="6" t="s">
        <v>88</v>
      </c>
      <c r="D52" s="6" t="s">
        <v>89</v>
      </c>
      <c r="E52" s="7">
        <v>0.06</v>
      </c>
      <c r="F52" s="7">
        <v>104</v>
      </c>
      <c r="G52" s="8">
        <f>133.95798*E52*F52</f>
        <v>835.8977951999999</v>
      </c>
      <c r="H52" s="8">
        <f>0.66468574*E52*F52</f>
        <v>4.1476390175999995</v>
      </c>
      <c r="I52" s="8">
        <f t="shared" si="6"/>
        <v>0</v>
      </c>
      <c r="J52" s="8">
        <f>151.64043336*E52*F52</f>
        <v>946.23630416640003</v>
      </c>
      <c r="K52" s="8">
        <f>44.3707803605*E52*F52</f>
        <v>276.87366944951998</v>
      </c>
      <c r="L52" s="8">
        <f>26.791596*E52*F52</f>
        <v>167.17955903999999</v>
      </c>
      <c r="M52" s="26">
        <f t="shared" si="5"/>
        <v>2230.33496687352</v>
      </c>
      <c r="N52" s="27">
        <f t="shared" si="2"/>
        <v>0.12643622261187756</v>
      </c>
    </row>
    <row r="53" spans="2:14" ht="24" x14ac:dyDescent="0.2">
      <c r="B53" s="21">
        <v>49</v>
      </c>
      <c r="C53" s="6" t="s">
        <v>90</v>
      </c>
      <c r="D53" s="6" t="s">
        <v>89</v>
      </c>
      <c r="E53" s="7">
        <v>0.06</v>
      </c>
      <c r="F53" s="7">
        <v>126</v>
      </c>
      <c r="G53" s="8">
        <f>24.753105*E53*F53</f>
        <v>187.13347380000002</v>
      </c>
      <c r="H53" s="8">
        <f>0.3176088*E53*F53</f>
        <v>2.4011225280000001</v>
      </c>
      <c r="I53" s="8">
        <f t="shared" si="6"/>
        <v>0</v>
      </c>
      <c r="J53" s="8">
        <f>28.02051486*E53*F53</f>
        <v>211.83509234159999</v>
      </c>
      <c r="K53" s="8">
        <f>8.2291404423*E53*F53</f>
        <v>62.212301743787997</v>
      </c>
      <c r="L53" s="8">
        <f>4.950621*E53*F53</f>
        <v>37.426694759999997</v>
      </c>
      <c r="M53" s="26">
        <f t="shared" si="5"/>
        <v>501.00868517338796</v>
      </c>
      <c r="N53" s="27">
        <f t="shared" si="2"/>
        <v>2.8401852900985715E-2</v>
      </c>
    </row>
    <row r="54" spans="2:14" x14ac:dyDescent="0.2">
      <c r="B54" s="21">
        <v>50</v>
      </c>
      <c r="C54" s="6" t="s">
        <v>91</v>
      </c>
      <c r="D54" s="6" t="s">
        <v>89</v>
      </c>
      <c r="E54" s="7">
        <v>0.06</v>
      </c>
      <c r="F54" s="7">
        <v>90</v>
      </c>
      <c r="G54" s="8">
        <f>582.426*E54*F54</f>
        <v>3145.1004000000003</v>
      </c>
      <c r="H54" s="8">
        <f>2.36500084*E54*F54</f>
        <v>12.771004536000001</v>
      </c>
      <c r="I54" s="8">
        <f t="shared" si="6"/>
        <v>0</v>
      </c>
      <c r="J54" s="8">
        <f>659.306232*E54*F54</f>
        <v>3560.2536528000001</v>
      </c>
      <c r="K54" s="8">
        <f>192.8350710902*E54*F54</f>
        <v>1041.30938388708</v>
      </c>
      <c r="L54" s="8">
        <f>116.4852*E54*F54</f>
        <v>629.02008000000001</v>
      </c>
      <c r="M54" s="26">
        <f t="shared" si="5"/>
        <v>8388.4545212230805</v>
      </c>
      <c r="N54" s="27">
        <f t="shared" si="2"/>
        <v>0.4755359705908776</v>
      </c>
    </row>
    <row r="55" spans="2:14" x14ac:dyDescent="0.2">
      <c r="B55" s="21">
        <v>51</v>
      </c>
      <c r="C55" s="6" t="s">
        <v>92</v>
      </c>
      <c r="D55" s="6" t="s">
        <v>72</v>
      </c>
      <c r="E55" s="7">
        <v>0.06</v>
      </c>
      <c r="F55" s="7">
        <v>247</v>
      </c>
      <c r="G55" s="8">
        <f>235.88253*E55*F55</f>
        <v>3495.7790946</v>
      </c>
      <c r="H55" s="8">
        <f>1.35936*E55*F55</f>
        <v>20.145715199999998</v>
      </c>
      <c r="I55" s="8">
        <f t="shared" si="6"/>
        <v>0</v>
      </c>
      <c r="J55" s="8">
        <f>267.01902396*E55*F55</f>
        <v>3957.2219350872001</v>
      </c>
      <c r="K55" s="8">
        <f>78.1604416638*E55*F55</f>
        <v>1158.3377454575159</v>
      </c>
      <c r="L55" s="8">
        <f>47.176506*E55*F55</f>
        <v>699.15581892</v>
      </c>
      <c r="M55" s="26">
        <f t="shared" si="5"/>
        <v>9330.6403092647161</v>
      </c>
      <c r="N55" s="27">
        <f t="shared" si="2"/>
        <v>0.52894786333700206</v>
      </c>
    </row>
    <row r="56" spans="2:14" x14ac:dyDescent="0.2">
      <c r="B56" s="21">
        <v>52</v>
      </c>
      <c r="C56" s="6" t="s">
        <v>93</v>
      </c>
      <c r="D56" s="6" t="s">
        <v>94</v>
      </c>
      <c r="E56" s="7">
        <v>0.04</v>
      </c>
      <c r="F56" s="7">
        <v>2</v>
      </c>
      <c r="G56" s="8">
        <f>7571.538*E56*F56</f>
        <v>605.72303999999997</v>
      </c>
      <c r="H56" s="8">
        <f>5798.164112*E56*F56</f>
        <v>463.85312896000005</v>
      </c>
      <c r="I56" s="8">
        <f t="shared" si="6"/>
        <v>0</v>
      </c>
      <c r="J56" s="8">
        <f>8570.981016*E56*F56</f>
        <v>685.67848128000003</v>
      </c>
      <c r="K56" s="8">
        <f>3400.80588484*E56*F56</f>
        <v>272.06447078720004</v>
      </c>
      <c r="L56" s="8">
        <f>1514.3076*E56*F56</f>
        <v>121.14460800000001</v>
      </c>
      <c r="M56" s="26">
        <f t="shared" si="5"/>
        <v>2148.4637290271999</v>
      </c>
      <c r="N56" s="27">
        <f t="shared" si="2"/>
        <v>0.12179499597659864</v>
      </c>
    </row>
    <row r="57" spans="2:14" ht="36" x14ac:dyDescent="0.2">
      <c r="B57" s="21">
        <v>53</v>
      </c>
      <c r="C57" s="6" t="s">
        <v>95</v>
      </c>
      <c r="D57" s="6" t="s">
        <v>94</v>
      </c>
      <c r="E57" s="7">
        <v>0.01</v>
      </c>
      <c r="F57" s="7">
        <v>365</v>
      </c>
      <c r="G57" s="8">
        <f>1500.3499225*E57*F57</f>
        <v>5476.2772171249999</v>
      </c>
      <c r="H57" s="8">
        <f>0*E57*F57</f>
        <v>0</v>
      </c>
      <c r="I57" s="8">
        <f>4043.8574682*E57*F57</f>
        <v>14760.07975893</v>
      </c>
      <c r="J57" s="8">
        <f>1698.39611227*E57*F57</f>
        <v>6199.1458097855011</v>
      </c>
      <c r="K57" s="8">
        <f>1122.6035429603*E57*F57</f>
        <v>4097.5029318050947</v>
      </c>
      <c r="L57" s="8">
        <f>300.0699845*E57*F57</f>
        <v>1095.2554434249998</v>
      </c>
      <c r="M57" s="26">
        <f t="shared" si="5"/>
        <v>31628.261161070597</v>
      </c>
      <c r="N57" s="27">
        <f t="shared" si="2"/>
        <v>1.7929853265913038</v>
      </c>
    </row>
    <row r="58" spans="2:14" ht="24" x14ac:dyDescent="0.2">
      <c r="B58" s="21">
        <v>54</v>
      </c>
      <c r="C58" s="6" t="s">
        <v>96</v>
      </c>
      <c r="D58" s="6" t="s">
        <v>97</v>
      </c>
      <c r="E58" s="7">
        <v>0.01</v>
      </c>
      <c r="F58" s="7">
        <v>365</v>
      </c>
      <c r="G58" s="8">
        <f>47.20508*E58*F58</f>
        <v>172.29854200000003</v>
      </c>
      <c r="H58" s="8">
        <f>0*E58*F58</f>
        <v>0</v>
      </c>
      <c r="I58" s="8">
        <f>127.2307296*E58*F58</f>
        <v>464.39216304000007</v>
      </c>
      <c r="J58" s="8">
        <f>53.43615056*E58*F58</f>
        <v>195.04194954400003</v>
      </c>
      <c r="K58" s="8">
        <f>35.3201538248*E58*F58</f>
        <v>128.91856146052001</v>
      </c>
      <c r="L58" s="8">
        <f>9.441016*E58*F58</f>
        <v>34.459708399999997</v>
      </c>
      <c r="M58" s="26">
        <f t="shared" si="5"/>
        <v>995.11092444452004</v>
      </c>
      <c r="N58" s="27">
        <f t="shared" si="2"/>
        <v>5.6412183925426303E-2</v>
      </c>
    </row>
    <row r="59" spans="2:14" x14ac:dyDescent="0.2">
      <c r="B59" s="21">
        <v>55</v>
      </c>
      <c r="C59" s="6" t="s">
        <v>98</v>
      </c>
      <c r="D59" s="6" t="s">
        <v>99</v>
      </c>
      <c r="E59" s="7">
        <v>0.08</v>
      </c>
      <c r="F59" s="7">
        <v>10</v>
      </c>
      <c r="G59" s="8">
        <f>1521.002145*E59*F59</f>
        <v>1216.8017159999999</v>
      </c>
      <c r="H59" s="8">
        <f>0*E59*F59</f>
        <v>0</v>
      </c>
      <c r="I59" s="8">
        <f>4350.3807936*E59*F59</f>
        <v>3480.3046348799999</v>
      </c>
      <c r="J59" s="8">
        <f>1721.77442814*E59*F59</f>
        <v>1377.4195425120001</v>
      </c>
      <c r="K59" s="8">
        <f>1176.9393918447*E59*F59</f>
        <v>941.55151347575998</v>
      </c>
      <c r="L59" s="8">
        <f>304.200429*E59*F59</f>
        <v>243.36034319999999</v>
      </c>
      <c r="M59" s="26">
        <f t="shared" si="5"/>
        <v>7259.4377500677592</v>
      </c>
      <c r="N59" s="27">
        <f t="shared" si="2"/>
        <v>0.41153275227141495</v>
      </c>
    </row>
    <row r="60" spans="2:14" x14ac:dyDescent="0.2">
      <c r="B60" s="21">
        <v>56</v>
      </c>
      <c r="C60" s="6" t="s">
        <v>100</v>
      </c>
      <c r="D60" s="6" t="s">
        <v>97</v>
      </c>
      <c r="E60" s="7">
        <v>0.08</v>
      </c>
      <c r="F60" s="7">
        <v>10</v>
      </c>
      <c r="G60" s="8">
        <f>89.417315*E60*F60</f>
        <v>71.53385200000001</v>
      </c>
      <c r="H60" s="8">
        <f>0*E60*F60</f>
        <v>0</v>
      </c>
      <c r="I60" s="8">
        <f>255.7520192*E60*F60</f>
        <v>204.60161536000001</v>
      </c>
      <c r="J60" s="8">
        <f>101.22040058*E60*F60</f>
        <v>80.976320464000011</v>
      </c>
      <c r="K60" s="8">
        <f>69.1904088909*E60*F60</f>
        <v>55.352327112720005</v>
      </c>
      <c r="L60" s="8">
        <f>17.883463*E60*F60</f>
        <v>14.3067704</v>
      </c>
      <c r="M60" s="26">
        <f t="shared" si="5"/>
        <v>426.77088533672003</v>
      </c>
      <c r="N60" s="27">
        <f t="shared" si="2"/>
        <v>2.4193360846752839E-2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M1"/>
    <mergeCell ref="B4:N4"/>
  </mergeCells>
  <pageMargins left="0.35" right="0.35" top="0.35" bottom="0.35" header="0.3" footer="0.3"/>
  <pageSetup paperSize="9" fitToHeight="0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opLeftCell="B1" workbookViewId="0">
      <selection activeCell="B74" sqref="B74:G74"/>
    </sheetView>
  </sheetViews>
  <sheetFormatPr defaultRowHeight="12" x14ac:dyDescent="0.2"/>
  <cols>
    <col min="1" max="1" width="0" hidden="1" customWidth="1"/>
    <col min="2" max="2" width="7" customWidth="1"/>
    <col min="3" max="3" width="60" customWidth="1"/>
    <col min="4" max="4" width="13" customWidth="1"/>
    <col min="5" max="5" width="11" customWidth="1"/>
    <col min="6" max="6" width="13" customWidth="1"/>
    <col min="7" max="7" width="15" customWidth="1"/>
  </cols>
  <sheetData>
    <row r="1" spans="1:7" ht="27.95" customHeight="1" x14ac:dyDescent="0.2">
      <c r="B1" s="28" t="s">
        <v>102</v>
      </c>
      <c r="C1" s="28"/>
      <c r="D1" s="28"/>
      <c r="E1" s="28"/>
      <c r="F1" s="28"/>
      <c r="G1" s="28"/>
    </row>
    <row r="3" spans="1:7" ht="27" x14ac:dyDescent="0.2">
      <c r="A3" s="1"/>
      <c r="B3" s="2" t="s">
        <v>0</v>
      </c>
      <c r="C3" s="2" t="s">
        <v>103</v>
      </c>
      <c r="D3" s="3" t="s">
        <v>104</v>
      </c>
      <c r="E3" s="3" t="s">
        <v>3</v>
      </c>
      <c r="F3" s="3" t="s">
        <v>105</v>
      </c>
      <c r="G3" s="4" t="s">
        <v>11</v>
      </c>
    </row>
    <row r="4" spans="1:7" ht="16.5" x14ac:dyDescent="0.2">
      <c r="B4" s="37" t="s">
        <v>106</v>
      </c>
      <c r="C4" s="37"/>
      <c r="D4" s="37"/>
      <c r="E4" s="37"/>
      <c r="F4" s="37"/>
      <c r="G4" s="37"/>
    </row>
    <row r="5" spans="1:7" x14ac:dyDescent="0.2">
      <c r="B5" s="11">
        <v>1</v>
      </c>
      <c r="C5" s="12" t="s">
        <v>107</v>
      </c>
      <c r="D5" s="12" t="s">
        <v>108</v>
      </c>
      <c r="E5" s="13">
        <v>1.3446</v>
      </c>
      <c r="F5" s="14">
        <v>129.87649999999999</v>
      </c>
      <c r="G5" s="16">
        <f t="shared" ref="G5:G30" si="0">E5*F5</f>
        <v>174.63194189999999</v>
      </c>
    </row>
    <row r="6" spans="1:7" x14ac:dyDescent="0.2">
      <c r="B6" s="5">
        <v>2</v>
      </c>
      <c r="C6" s="6" t="s">
        <v>109</v>
      </c>
      <c r="D6" s="6" t="s">
        <v>108</v>
      </c>
      <c r="E6" s="15">
        <v>30.56615</v>
      </c>
      <c r="F6" s="8">
        <v>129.87649999999999</v>
      </c>
      <c r="G6" s="9">
        <f t="shared" si="0"/>
        <v>3969.8245804749999</v>
      </c>
    </row>
    <row r="7" spans="1:7" x14ac:dyDescent="0.2">
      <c r="B7" s="5">
        <v>3</v>
      </c>
      <c r="C7" s="6" t="s">
        <v>110</v>
      </c>
      <c r="D7" s="6" t="s">
        <v>108</v>
      </c>
      <c r="E7" s="15">
        <v>30.56615</v>
      </c>
      <c r="F7" s="8">
        <v>97.071000000000012</v>
      </c>
      <c r="G7" s="9">
        <f t="shared" si="0"/>
        <v>2967.0867466500004</v>
      </c>
    </row>
    <row r="8" spans="1:7" x14ac:dyDescent="0.2">
      <c r="B8" s="5">
        <v>4</v>
      </c>
      <c r="C8" s="6" t="s">
        <v>111</v>
      </c>
      <c r="D8" s="6" t="s">
        <v>108</v>
      </c>
      <c r="E8" s="15">
        <v>324.08938000000001</v>
      </c>
      <c r="F8" s="8">
        <v>97.071000000000012</v>
      </c>
      <c r="G8" s="9">
        <f t="shared" si="0"/>
        <v>31459.680205980003</v>
      </c>
    </row>
    <row r="9" spans="1:7" x14ac:dyDescent="0.2">
      <c r="B9" s="5">
        <v>5</v>
      </c>
      <c r="C9" s="6" t="s">
        <v>112</v>
      </c>
      <c r="D9" s="6" t="s">
        <v>108</v>
      </c>
      <c r="E9" s="15">
        <v>23.94</v>
      </c>
      <c r="F9" s="8">
        <v>129.87649999999999</v>
      </c>
      <c r="G9" s="9">
        <f t="shared" si="0"/>
        <v>3109.24341</v>
      </c>
    </row>
    <row r="10" spans="1:7" x14ac:dyDescent="0.2">
      <c r="B10" s="5">
        <v>6</v>
      </c>
      <c r="C10" s="6" t="s">
        <v>113</v>
      </c>
      <c r="D10" s="6" t="s">
        <v>108</v>
      </c>
      <c r="E10" s="15">
        <v>10.1732</v>
      </c>
      <c r="F10" s="8">
        <v>115.1605</v>
      </c>
      <c r="G10" s="9">
        <f t="shared" si="0"/>
        <v>1171.5507986</v>
      </c>
    </row>
    <row r="11" spans="1:7" x14ac:dyDescent="0.2">
      <c r="B11" s="5">
        <v>7</v>
      </c>
      <c r="C11" s="6" t="s">
        <v>114</v>
      </c>
      <c r="D11" s="6" t="s">
        <v>108</v>
      </c>
      <c r="E11" s="15">
        <v>5.28</v>
      </c>
      <c r="F11" s="8">
        <v>129.87649999999999</v>
      </c>
      <c r="G11" s="9">
        <f t="shared" si="0"/>
        <v>685.74792000000002</v>
      </c>
    </row>
    <row r="12" spans="1:7" x14ac:dyDescent="0.2">
      <c r="B12" s="5">
        <v>8</v>
      </c>
      <c r="C12" s="6" t="s">
        <v>115</v>
      </c>
      <c r="D12" s="6" t="s">
        <v>108</v>
      </c>
      <c r="E12" s="15">
        <v>25.212666680000002</v>
      </c>
      <c r="F12" s="8">
        <v>97.071000000000012</v>
      </c>
      <c r="G12" s="9">
        <f t="shared" si="0"/>
        <v>2447.4187672942803</v>
      </c>
    </row>
    <row r="13" spans="1:7" x14ac:dyDescent="0.2">
      <c r="B13" s="5">
        <v>9</v>
      </c>
      <c r="C13" s="6" t="s">
        <v>116</v>
      </c>
      <c r="D13" s="6" t="s">
        <v>108</v>
      </c>
      <c r="E13" s="15">
        <v>6.17</v>
      </c>
      <c r="F13" s="8">
        <v>115.1605</v>
      </c>
      <c r="G13" s="9">
        <f t="shared" si="0"/>
        <v>710.54028500000004</v>
      </c>
    </row>
    <row r="14" spans="1:7" x14ac:dyDescent="0.2">
      <c r="B14" s="5">
        <v>10</v>
      </c>
      <c r="C14" s="6" t="s">
        <v>117</v>
      </c>
      <c r="D14" s="6" t="s">
        <v>108</v>
      </c>
      <c r="E14" s="15">
        <v>1.83</v>
      </c>
      <c r="F14" s="8">
        <v>129.87649999999999</v>
      </c>
      <c r="G14" s="9">
        <f t="shared" si="0"/>
        <v>237.67399499999999</v>
      </c>
    </row>
    <row r="15" spans="1:7" x14ac:dyDescent="0.2">
      <c r="B15" s="5">
        <v>11</v>
      </c>
      <c r="C15" s="6" t="s">
        <v>118</v>
      </c>
      <c r="D15" s="6" t="s">
        <v>108</v>
      </c>
      <c r="E15" s="15">
        <v>1.83</v>
      </c>
      <c r="F15" s="8">
        <v>149.721</v>
      </c>
      <c r="G15" s="9">
        <f t="shared" si="0"/>
        <v>273.98943000000003</v>
      </c>
    </row>
    <row r="16" spans="1:7" ht="24" x14ac:dyDescent="0.2">
      <c r="B16" s="5">
        <v>12</v>
      </c>
      <c r="C16" s="6" t="s">
        <v>119</v>
      </c>
      <c r="D16" s="6" t="s">
        <v>108</v>
      </c>
      <c r="E16" s="15">
        <v>198.24000018999999</v>
      </c>
      <c r="F16" s="8">
        <v>105.3065</v>
      </c>
      <c r="G16" s="9">
        <f t="shared" si="0"/>
        <v>20875.960580008235</v>
      </c>
    </row>
    <row r="17" spans="2:7" ht="24" x14ac:dyDescent="0.2">
      <c r="B17" s="5">
        <v>13</v>
      </c>
      <c r="C17" s="6" t="s">
        <v>120</v>
      </c>
      <c r="D17" s="6" t="s">
        <v>121</v>
      </c>
      <c r="E17" s="15">
        <v>3.36</v>
      </c>
      <c r="F17" s="8">
        <v>129.87649999999999</v>
      </c>
      <c r="G17" s="9">
        <f t="shared" si="0"/>
        <v>436.38503999999995</v>
      </c>
    </row>
    <row r="18" spans="2:7" ht="24" x14ac:dyDescent="0.2">
      <c r="B18" s="5">
        <v>14</v>
      </c>
      <c r="C18" s="6" t="s">
        <v>122</v>
      </c>
      <c r="D18" s="6" t="s">
        <v>108</v>
      </c>
      <c r="E18" s="15">
        <v>9.6137999999999995</v>
      </c>
      <c r="F18" s="8">
        <v>129.87649999999999</v>
      </c>
      <c r="G18" s="9">
        <f t="shared" si="0"/>
        <v>1248.6066956999998</v>
      </c>
    </row>
    <row r="19" spans="2:7" x14ac:dyDescent="0.2">
      <c r="B19" s="5">
        <v>15</v>
      </c>
      <c r="C19" s="6" t="s">
        <v>123</v>
      </c>
      <c r="D19" s="6" t="s">
        <v>108</v>
      </c>
      <c r="E19" s="15">
        <v>42.750799999999998</v>
      </c>
      <c r="F19" s="8">
        <v>115.1605</v>
      </c>
      <c r="G19" s="9">
        <f t="shared" si="0"/>
        <v>4923.2035034</v>
      </c>
    </row>
    <row r="20" spans="2:7" x14ac:dyDescent="0.2">
      <c r="B20" s="5">
        <v>16</v>
      </c>
      <c r="C20" s="6" t="s">
        <v>124</v>
      </c>
      <c r="D20" s="6" t="s">
        <v>108</v>
      </c>
      <c r="E20" s="15">
        <v>13.29</v>
      </c>
      <c r="F20" s="8">
        <v>105.3065</v>
      </c>
      <c r="G20" s="9">
        <f t="shared" si="0"/>
        <v>1399.523385</v>
      </c>
    </row>
    <row r="21" spans="2:7" x14ac:dyDescent="0.2">
      <c r="B21" s="5">
        <v>17</v>
      </c>
      <c r="C21" s="6" t="s">
        <v>125</v>
      </c>
      <c r="D21" s="6" t="s">
        <v>108</v>
      </c>
      <c r="E21" s="15">
        <v>78.988933279999998</v>
      </c>
      <c r="F21" s="8">
        <v>115.1605</v>
      </c>
      <c r="G21" s="9">
        <f t="shared" si="0"/>
        <v>9096.4050509914396</v>
      </c>
    </row>
    <row r="22" spans="2:7" x14ac:dyDescent="0.2">
      <c r="B22" s="5">
        <v>18</v>
      </c>
      <c r="C22" s="6" t="s">
        <v>126</v>
      </c>
      <c r="D22" s="6" t="s">
        <v>108</v>
      </c>
      <c r="E22" s="15">
        <v>104.9688</v>
      </c>
      <c r="F22" s="8">
        <v>129.87649999999999</v>
      </c>
      <c r="G22" s="9">
        <f t="shared" si="0"/>
        <v>13632.980353199999</v>
      </c>
    </row>
    <row r="23" spans="2:7" x14ac:dyDescent="0.2">
      <c r="B23" s="5">
        <v>19</v>
      </c>
      <c r="C23" s="6" t="s">
        <v>127</v>
      </c>
      <c r="D23" s="6" t="s">
        <v>108</v>
      </c>
      <c r="E23" s="15">
        <v>26.366933280000001</v>
      </c>
      <c r="F23" s="8">
        <v>149.721</v>
      </c>
      <c r="G23" s="9">
        <f t="shared" si="0"/>
        <v>3947.6836176148804</v>
      </c>
    </row>
    <row r="24" spans="2:7" x14ac:dyDescent="0.2">
      <c r="B24" s="5">
        <v>20</v>
      </c>
      <c r="C24" s="6" t="s">
        <v>128</v>
      </c>
      <c r="D24" s="6" t="s">
        <v>108</v>
      </c>
      <c r="E24" s="15">
        <v>26.366933280000001</v>
      </c>
      <c r="F24" s="8">
        <v>174.42750000000001</v>
      </c>
      <c r="G24" s="9">
        <f t="shared" si="0"/>
        <v>4599.1182546972004</v>
      </c>
    </row>
    <row r="25" spans="2:7" x14ac:dyDescent="0.2">
      <c r="B25" s="5">
        <v>21</v>
      </c>
      <c r="C25" s="6" t="s">
        <v>129</v>
      </c>
      <c r="D25" s="6" t="s">
        <v>108</v>
      </c>
      <c r="E25" s="15">
        <v>0.23</v>
      </c>
      <c r="F25" s="8">
        <v>105.3065</v>
      </c>
      <c r="G25" s="9">
        <f t="shared" si="0"/>
        <v>24.220495</v>
      </c>
    </row>
    <row r="26" spans="2:7" x14ac:dyDescent="0.2">
      <c r="B26" s="5">
        <v>22</v>
      </c>
      <c r="C26" s="6" t="s">
        <v>130</v>
      </c>
      <c r="D26" s="6" t="s">
        <v>108</v>
      </c>
      <c r="E26" s="15">
        <v>0.23</v>
      </c>
      <c r="F26" s="8">
        <v>115.1605</v>
      </c>
      <c r="G26" s="9">
        <f t="shared" si="0"/>
        <v>26.486915</v>
      </c>
    </row>
    <row r="27" spans="2:7" x14ac:dyDescent="0.2">
      <c r="B27" s="5">
        <v>23</v>
      </c>
      <c r="C27" s="6" t="s">
        <v>131</v>
      </c>
      <c r="D27" s="6" t="s">
        <v>108</v>
      </c>
      <c r="E27" s="15">
        <v>40.950000000000003</v>
      </c>
      <c r="F27" s="8">
        <v>129.87649999999999</v>
      </c>
      <c r="G27" s="9">
        <f t="shared" si="0"/>
        <v>5318.4426750000002</v>
      </c>
    </row>
    <row r="28" spans="2:7" ht="24" x14ac:dyDescent="0.2">
      <c r="B28" s="5">
        <v>24</v>
      </c>
      <c r="C28" s="6" t="s">
        <v>132</v>
      </c>
      <c r="D28" s="6" t="s">
        <v>133</v>
      </c>
      <c r="E28" s="15">
        <v>9.6137999999999995</v>
      </c>
      <c r="F28" s="8">
        <v>149.721</v>
      </c>
      <c r="G28" s="9">
        <f t="shared" si="0"/>
        <v>1439.3877497999999</v>
      </c>
    </row>
    <row r="29" spans="2:7" ht="24" x14ac:dyDescent="0.2">
      <c r="B29" s="5">
        <v>25</v>
      </c>
      <c r="C29" s="6" t="s">
        <v>134</v>
      </c>
      <c r="D29" s="6" t="s">
        <v>108</v>
      </c>
      <c r="E29" s="15">
        <v>0.6</v>
      </c>
      <c r="F29" s="8">
        <v>115.1605</v>
      </c>
      <c r="G29" s="9">
        <f t="shared" si="0"/>
        <v>69.096299999999999</v>
      </c>
    </row>
    <row r="30" spans="2:7" ht="24" x14ac:dyDescent="0.2">
      <c r="B30" s="5">
        <v>26</v>
      </c>
      <c r="C30" s="6" t="s">
        <v>135</v>
      </c>
      <c r="D30" s="6" t="s">
        <v>108</v>
      </c>
      <c r="E30" s="15">
        <v>22.573799999999999</v>
      </c>
      <c r="F30" s="8">
        <v>129.87649999999999</v>
      </c>
      <c r="G30" s="9">
        <f t="shared" si="0"/>
        <v>2931.8061356999997</v>
      </c>
    </row>
    <row r="31" spans="2:7" x14ac:dyDescent="0.2">
      <c r="B31" s="34" t="s">
        <v>101</v>
      </c>
      <c r="C31" s="35"/>
      <c r="D31" s="35"/>
      <c r="E31" s="35"/>
      <c r="F31" s="36"/>
      <c r="G31" s="10">
        <f>SUM(G5:G30)</f>
        <v>117176.69483201102</v>
      </c>
    </row>
    <row r="32" spans="2:7" ht="16.5" x14ac:dyDescent="0.2">
      <c r="B32" s="37" t="s">
        <v>136</v>
      </c>
      <c r="C32" s="37"/>
      <c r="D32" s="37"/>
      <c r="E32" s="37"/>
      <c r="F32" s="37"/>
      <c r="G32" s="37"/>
    </row>
    <row r="33" spans="2:7" x14ac:dyDescent="0.2">
      <c r="B33" s="11">
        <v>27</v>
      </c>
      <c r="C33" s="12" t="s">
        <v>137</v>
      </c>
      <c r="D33" s="12" t="s">
        <v>138</v>
      </c>
      <c r="E33" s="13">
        <v>3.2000000000000002E-3</v>
      </c>
      <c r="F33" s="14">
        <v>52881.770799999991</v>
      </c>
      <c r="G33" s="16">
        <f t="shared" ref="G33:G53" si="1">E33*F33</f>
        <v>169.22166655999999</v>
      </c>
    </row>
    <row r="34" spans="2:7" ht="24" x14ac:dyDescent="0.2">
      <c r="B34" s="5">
        <v>28</v>
      </c>
      <c r="C34" s="6" t="s">
        <v>139</v>
      </c>
      <c r="D34" s="6" t="s">
        <v>138</v>
      </c>
      <c r="E34" s="15">
        <v>3.9160000000000002E-3</v>
      </c>
      <c r="F34" s="8">
        <v>63721.309799999995</v>
      </c>
      <c r="G34" s="9">
        <f t="shared" si="1"/>
        <v>249.53264917679999</v>
      </c>
    </row>
    <row r="35" spans="2:7" x14ac:dyDescent="0.2">
      <c r="B35" s="5">
        <v>29</v>
      </c>
      <c r="C35" s="6" t="s">
        <v>140</v>
      </c>
      <c r="D35" s="6" t="s">
        <v>141</v>
      </c>
      <c r="E35" s="15">
        <v>56.247999999999998</v>
      </c>
      <c r="F35" s="8">
        <v>19.729599999999998</v>
      </c>
      <c r="G35" s="9">
        <f t="shared" si="1"/>
        <v>1109.7505407999997</v>
      </c>
    </row>
    <row r="36" spans="2:7" x14ac:dyDescent="0.2">
      <c r="B36" s="5">
        <v>30</v>
      </c>
      <c r="C36" s="6" t="s">
        <v>142</v>
      </c>
      <c r="D36" s="6" t="s">
        <v>143</v>
      </c>
      <c r="E36" s="15">
        <v>30.6495</v>
      </c>
      <c r="F36" s="8">
        <v>198.06299999999999</v>
      </c>
      <c r="G36" s="9">
        <f t="shared" si="1"/>
        <v>6070.5319184999998</v>
      </c>
    </row>
    <row r="37" spans="2:7" x14ac:dyDescent="0.2">
      <c r="B37" s="5">
        <v>31</v>
      </c>
      <c r="C37" s="6" t="s">
        <v>144</v>
      </c>
      <c r="D37" s="6" t="s">
        <v>145</v>
      </c>
      <c r="E37" s="15">
        <v>0.20399999999999999</v>
      </c>
      <c r="F37" s="8">
        <v>235.45719999999997</v>
      </c>
      <c r="G37" s="9">
        <f t="shared" si="1"/>
        <v>48.033268799999988</v>
      </c>
    </row>
    <row r="38" spans="2:7" ht="24" x14ac:dyDescent="0.2">
      <c r="B38" s="5">
        <v>32</v>
      </c>
      <c r="C38" s="6" t="s">
        <v>146</v>
      </c>
      <c r="D38" s="6" t="s">
        <v>145</v>
      </c>
      <c r="E38" s="15">
        <v>2.4E-2</v>
      </c>
      <c r="F38" s="8">
        <v>114.8022</v>
      </c>
      <c r="G38" s="9">
        <f t="shared" si="1"/>
        <v>2.7552528000000001</v>
      </c>
    </row>
    <row r="39" spans="2:7" x14ac:dyDescent="0.2">
      <c r="B39" s="5">
        <v>33</v>
      </c>
      <c r="C39" s="6" t="s">
        <v>147</v>
      </c>
      <c r="D39" s="6" t="s">
        <v>145</v>
      </c>
      <c r="E39" s="15">
        <v>0.6</v>
      </c>
      <c r="F39" s="8">
        <v>66.445800000000006</v>
      </c>
      <c r="G39" s="9">
        <f t="shared" si="1"/>
        <v>39.86748</v>
      </c>
    </row>
    <row r="40" spans="2:7" x14ac:dyDescent="0.2">
      <c r="B40" s="5">
        <v>34</v>
      </c>
      <c r="C40" s="6" t="s">
        <v>148</v>
      </c>
      <c r="D40" s="6" t="s">
        <v>138</v>
      </c>
      <c r="E40" s="15">
        <v>1.16E-4</v>
      </c>
      <c r="F40" s="8">
        <v>61185.076800000003</v>
      </c>
      <c r="G40" s="9">
        <f t="shared" si="1"/>
        <v>7.0974689088000007</v>
      </c>
    </row>
    <row r="41" spans="2:7" x14ac:dyDescent="0.2">
      <c r="B41" s="5">
        <v>35</v>
      </c>
      <c r="C41" s="6" t="s">
        <v>149</v>
      </c>
      <c r="D41" s="6" t="s">
        <v>138</v>
      </c>
      <c r="E41" s="15">
        <v>2.368E-2</v>
      </c>
      <c r="F41" s="8">
        <v>28669.7284</v>
      </c>
      <c r="G41" s="9">
        <f t="shared" si="1"/>
        <v>678.89916851199996</v>
      </c>
    </row>
    <row r="42" spans="2:7" x14ac:dyDescent="0.2">
      <c r="B42" s="5">
        <v>36</v>
      </c>
      <c r="C42" s="6" t="s">
        <v>150</v>
      </c>
      <c r="D42" s="6" t="s">
        <v>151</v>
      </c>
      <c r="E42" s="15">
        <v>184.52799999999999</v>
      </c>
      <c r="F42" s="8">
        <v>3.3983999999999996</v>
      </c>
      <c r="G42" s="9">
        <f t="shared" si="1"/>
        <v>627.09995519999995</v>
      </c>
    </row>
    <row r="43" spans="2:7" x14ac:dyDescent="0.2">
      <c r="B43" s="5">
        <v>37</v>
      </c>
      <c r="C43" s="6" t="s">
        <v>152</v>
      </c>
      <c r="D43" s="6" t="s">
        <v>145</v>
      </c>
      <c r="E43" s="15">
        <v>11.52</v>
      </c>
      <c r="F43" s="8">
        <v>171.1</v>
      </c>
      <c r="G43" s="9">
        <f t="shared" si="1"/>
        <v>1971.0719999999999</v>
      </c>
    </row>
    <row r="44" spans="2:7" x14ac:dyDescent="0.2">
      <c r="B44" s="5">
        <v>38</v>
      </c>
      <c r="C44" s="6" t="s">
        <v>153</v>
      </c>
      <c r="D44" s="6" t="s">
        <v>138</v>
      </c>
      <c r="E44" s="15">
        <v>4.3999999999999999E-5</v>
      </c>
      <c r="F44" s="8">
        <v>216294</v>
      </c>
      <c r="G44" s="9">
        <f t="shared" si="1"/>
        <v>9.5169359999999994</v>
      </c>
    </row>
    <row r="45" spans="2:7" x14ac:dyDescent="0.2">
      <c r="B45" s="5">
        <v>39</v>
      </c>
      <c r="C45" s="6" t="s">
        <v>154</v>
      </c>
      <c r="D45" s="6" t="s">
        <v>138</v>
      </c>
      <c r="E45" s="15">
        <v>4.1399999999999999E-2</v>
      </c>
      <c r="F45" s="8">
        <v>44901.230199999998</v>
      </c>
      <c r="G45" s="9">
        <f t="shared" si="1"/>
        <v>1858.91093028</v>
      </c>
    </row>
    <row r="46" spans="2:7" x14ac:dyDescent="0.2">
      <c r="B46" s="5">
        <v>40</v>
      </c>
      <c r="C46" s="6" t="s">
        <v>155</v>
      </c>
      <c r="D46" s="6" t="s">
        <v>151</v>
      </c>
      <c r="E46" s="15">
        <v>40</v>
      </c>
      <c r="F46" s="8">
        <v>23.387599999999999</v>
      </c>
      <c r="G46" s="9">
        <f t="shared" si="1"/>
        <v>935.50399999999991</v>
      </c>
    </row>
    <row r="47" spans="2:7" ht="24" x14ac:dyDescent="0.2">
      <c r="B47" s="5">
        <v>41</v>
      </c>
      <c r="C47" s="6" t="s">
        <v>156</v>
      </c>
      <c r="D47" s="6" t="s">
        <v>138</v>
      </c>
      <c r="E47" s="15">
        <v>1.008E-3</v>
      </c>
      <c r="F47" s="8">
        <v>42618.508399999992</v>
      </c>
      <c r="G47" s="9">
        <f t="shared" si="1"/>
        <v>42.959456467199992</v>
      </c>
    </row>
    <row r="48" spans="2:7" ht="24" x14ac:dyDescent="0.2">
      <c r="B48" s="5">
        <v>42</v>
      </c>
      <c r="C48" s="6" t="s">
        <v>157</v>
      </c>
      <c r="D48" s="6" t="s">
        <v>158</v>
      </c>
      <c r="E48" s="15">
        <v>2E-3</v>
      </c>
      <c r="F48" s="8">
        <v>71041.191999999995</v>
      </c>
      <c r="G48" s="9">
        <f t="shared" si="1"/>
        <v>142.08238399999999</v>
      </c>
    </row>
    <row r="49" spans="2:7" x14ac:dyDescent="0.2">
      <c r="B49" s="5">
        <v>43</v>
      </c>
      <c r="C49" s="6" t="s">
        <v>159</v>
      </c>
      <c r="D49" s="6" t="s">
        <v>145</v>
      </c>
      <c r="E49" s="15">
        <v>1.32</v>
      </c>
      <c r="F49" s="8">
        <v>88.441000000000003</v>
      </c>
      <c r="G49" s="9">
        <f t="shared" si="1"/>
        <v>116.74212000000001</v>
      </c>
    </row>
    <row r="50" spans="2:7" ht="24" x14ac:dyDescent="0.2">
      <c r="B50" s="5">
        <v>44</v>
      </c>
      <c r="C50" s="6" t="s">
        <v>160</v>
      </c>
      <c r="D50" s="6" t="s">
        <v>143</v>
      </c>
      <c r="E50" s="15">
        <v>0.34333332999999999</v>
      </c>
      <c r="F50" s="8">
        <v>188.79999999999998</v>
      </c>
      <c r="G50" s="9">
        <f t="shared" si="1"/>
        <v>64.821332704</v>
      </c>
    </row>
    <row r="51" spans="2:7" x14ac:dyDescent="0.2">
      <c r="B51" s="5">
        <v>45</v>
      </c>
      <c r="C51" s="6" t="s">
        <v>161</v>
      </c>
      <c r="D51" s="6" t="s">
        <v>162</v>
      </c>
      <c r="E51" s="15">
        <v>4.52745</v>
      </c>
      <c r="F51" s="8">
        <v>268.07240000000002</v>
      </c>
      <c r="G51" s="9">
        <f t="shared" si="1"/>
        <v>1213.6843873800001</v>
      </c>
    </row>
    <row r="52" spans="2:7" x14ac:dyDescent="0.2">
      <c r="B52" s="5">
        <v>46</v>
      </c>
      <c r="C52" s="6" t="s">
        <v>163</v>
      </c>
      <c r="D52" s="6" t="s">
        <v>145</v>
      </c>
      <c r="E52" s="15">
        <v>2.5830000000000002</v>
      </c>
      <c r="F52" s="8">
        <v>63.023799999999994</v>
      </c>
      <c r="G52" s="9">
        <f t="shared" si="1"/>
        <v>162.79047539999999</v>
      </c>
    </row>
    <row r="53" spans="2:7" x14ac:dyDescent="0.2">
      <c r="B53" s="5">
        <v>47</v>
      </c>
      <c r="C53" s="6" t="s">
        <v>164</v>
      </c>
      <c r="D53" s="6" t="s">
        <v>165</v>
      </c>
      <c r="E53" s="15">
        <v>2.04</v>
      </c>
      <c r="F53" s="8">
        <v>84.181200000000004</v>
      </c>
      <c r="G53" s="9">
        <f t="shared" si="1"/>
        <v>171.729648</v>
      </c>
    </row>
    <row r="54" spans="2:7" x14ac:dyDescent="0.2">
      <c r="B54" s="34" t="s">
        <v>101</v>
      </c>
      <c r="C54" s="35"/>
      <c r="D54" s="35"/>
      <c r="E54" s="35"/>
      <c r="F54" s="36"/>
      <c r="G54" s="10">
        <f>SUM(G33:G53)</f>
        <v>15692.6030394888</v>
      </c>
    </row>
    <row r="55" spans="2:7" ht="16.5" x14ac:dyDescent="0.2">
      <c r="B55" s="37" t="s">
        <v>166</v>
      </c>
      <c r="C55" s="37"/>
      <c r="D55" s="37"/>
      <c r="E55" s="37"/>
      <c r="F55" s="37"/>
      <c r="G55" s="37"/>
    </row>
    <row r="56" spans="2:7" x14ac:dyDescent="0.2">
      <c r="B56" s="11">
        <v>48</v>
      </c>
      <c r="C56" s="12" t="s">
        <v>167</v>
      </c>
      <c r="D56" s="12" t="s">
        <v>151</v>
      </c>
      <c r="E56" s="13">
        <v>0.10012156999999999</v>
      </c>
      <c r="F56" s="14">
        <v>98.305799999999991</v>
      </c>
      <c r="G56" s="16">
        <f t="shared" ref="G56:G65" si="2">E56*F56</f>
        <v>9.8425310361059992</v>
      </c>
    </row>
    <row r="57" spans="2:7" x14ac:dyDescent="0.2">
      <c r="B57" s="5">
        <v>49</v>
      </c>
      <c r="C57" s="6" t="s">
        <v>168</v>
      </c>
      <c r="D57" s="6" t="s">
        <v>151</v>
      </c>
      <c r="E57" s="15">
        <v>0.56727216000000003</v>
      </c>
      <c r="F57" s="8">
        <v>56.120800000000003</v>
      </c>
      <c r="G57" s="9">
        <f t="shared" si="2"/>
        <v>31.835767436928002</v>
      </c>
    </row>
    <row r="58" spans="2:7" x14ac:dyDescent="0.2">
      <c r="B58" s="5">
        <v>50</v>
      </c>
      <c r="C58" s="6" t="s">
        <v>169</v>
      </c>
      <c r="D58" s="6" t="s">
        <v>151</v>
      </c>
      <c r="E58" s="15">
        <v>0.120824</v>
      </c>
      <c r="F58" s="8">
        <v>234.1592</v>
      </c>
      <c r="G58" s="9">
        <f t="shared" si="2"/>
        <v>28.292051180800001</v>
      </c>
    </row>
    <row r="59" spans="2:7" x14ac:dyDescent="0.2">
      <c r="B59" s="5">
        <v>51</v>
      </c>
      <c r="C59" s="6" t="s">
        <v>170</v>
      </c>
      <c r="D59" s="6" t="s">
        <v>151</v>
      </c>
      <c r="E59" s="15">
        <v>4.6199999999999998E-2</v>
      </c>
      <c r="F59" s="8">
        <v>247.79999999999998</v>
      </c>
      <c r="G59" s="9">
        <f t="shared" si="2"/>
        <v>11.448359999999999</v>
      </c>
    </row>
    <row r="60" spans="2:7" x14ac:dyDescent="0.2">
      <c r="B60" s="5">
        <v>52</v>
      </c>
      <c r="C60" s="6" t="s">
        <v>171</v>
      </c>
      <c r="D60" s="6" t="s">
        <v>151</v>
      </c>
      <c r="E60" s="15">
        <v>4.0667799999999996</v>
      </c>
      <c r="F60" s="8">
        <v>62.410199999999996</v>
      </c>
      <c r="G60" s="9">
        <f t="shared" si="2"/>
        <v>253.80855315599996</v>
      </c>
    </row>
    <row r="61" spans="2:7" x14ac:dyDescent="0.2">
      <c r="B61" s="5">
        <v>53</v>
      </c>
      <c r="C61" s="6" t="s">
        <v>172</v>
      </c>
      <c r="D61" s="6" t="s">
        <v>151</v>
      </c>
      <c r="E61" s="15">
        <v>4.7364000000000003E-2</v>
      </c>
      <c r="F61" s="8">
        <v>171.6782</v>
      </c>
      <c r="G61" s="9">
        <f t="shared" si="2"/>
        <v>8.1313662648000005</v>
      </c>
    </row>
    <row r="62" spans="2:7" x14ac:dyDescent="0.2">
      <c r="B62" s="5">
        <v>54</v>
      </c>
      <c r="C62" s="6" t="s">
        <v>173</v>
      </c>
      <c r="D62" s="6" t="s">
        <v>151</v>
      </c>
      <c r="E62" s="15">
        <v>2.363587E-2</v>
      </c>
      <c r="F62" s="8">
        <v>96.759999999999991</v>
      </c>
      <c r="G62" s="9">
        <f t="shared" si="2"/>
        <v>2.2870067811999997</v>
      </c>
    </row>
    <row r="63" spans="2:7" x14ac:dyDescent="0.2">
      <c r="B63" s="5">
        <v>55</v>
      </c>
      <c r="C63" s="6" t="s">
        <v>174</v>
      </c>
      <c r="D63" s="6" t="s">
        <v>151</v>
      </c>
      <c r="E63" s="15">
        <v>6.3E-2</v>
      </c>
      <c r="F63" s="8">
        <v>2128.7199999999998</v>
      </c>
      <c r="G63" s="9">
        <f t="shared" si="2"/>
        <v>134.10935999999998</v>
      </c>
    </row>
    <row r="64" spans="2:7" x14ac:dyDescent="0.2">
      <c r="B64" s="5">
        <v>56</v>
      </c>
      <c r="C64" s="6" t="s">
        <v>175</v>
      </c>
      <c r="D64" s="6" t="s">
        <v>151</v>
      </c>
      <c r="E64" s="15">
        <v>5.2848579999999999E-2</v>
      </c>
      <c r="F64" s="8">
        <v>47.199999999999996</v>
      </c>
      <c r="G64" s="9">
        <f t="shared" si="2"/>
        <v>2.4944529759999998</v>
      </c>
    </row>
    <row r="65" spans="2:7" x14ac:dyDescent="0.2">
      <c r="B65" s="5">
        <v>57</v>
      </c>
      <c r="C65" s="6" t="s">
        <v>176</v>
      </c>
      <c r="D65" s="6" t="s">
        <v>151</v>
      </c>
      <c r="E65" s="15">
        <v>5.2848579999999999E-2</v>
      </c>
      <c r="F65" s="8">
        <v>149.97799999999998</v>
      </c>
      <c r="G65" s="9">
        <f t="shared" si="2"/>
        <v>7.9261243312399987</v>
      </c>
    </row>
    <row r="66" spans="2:7" x14ac:dyDescent="0.2">
      <c r="B66" s="34" t="s">
        <v>101</v>
      </c>
      <c r="C66" s="35"/>
      <c r="D66" s="35"/>
      <c r="E66" s="35"/>
      <c r="F66" s="36"/>
      <c r="G66" s="10">
        <f>SUM(G56:G65)</f>
        <v>490.17557316307392</v>
      </c>
    </row>
    <row r="67" spans="2:7" ht="16.5" x14ac:dyDescent="0.2">
      <c r="B67" s="37" t="s">
        <v>177</v>
      </c>
      <c r="C67" s="37"/>
      <c r="D67" s="37"/>
      <c r="E67" s="37"/>
      <c r="F67" s="37"/>
      <c r="G67" s="37"/>
    </row>
    <row r="68" spans="2:7" x14ac:dyDescent="0.2">
      <c r="B68" s="11">
        <v>58</v>
      </c>
      <c r="C68" s="12" t="s">
        <v>178</v>
      </c>
      <c r="D68" s="12" t="s">
        <v>179</v>
      </c>
      <c r="E68" s="13">
        <v>5.58</v>
      </c>
      <c r="F68" s="14">
        <v>778.69600000000003</v>
      </c>
      <c r="G68" s="16">
        <f t="shared" ref="G68:G73" si="3">E68*F68</f>
        <v>4345.1236800000006</v>
      </c>
    </row>
    <row r="69" spans="2:7" x14ac:dyDescent="0.2">
      <c r="B69" s="5">
        <v>59</v>
      </c>
      <c r="C69" s="6" t="s">
        <v>180</v>
      </c>
      <c r="D69" s="6" t="s">
        <v>179</v>
      </c>
      <c r="E69" s="15">
        <v>3</v>
      </c>
      <c r="F69" s="8">
        <v>58.696500000000007</v>
      </c>
      <c r="G69" s="9">
        <f t="shared" si="3"/>
        <v>176.08950000000002</v>
      </c>
    </row>
    <row r="70" spans="2:7" x14ac:dyDescent="0.2">
      <c r="B70" s="5">
        <v>60</v>
      </c>
      <c r="C70" s="6" t="s">
        <v>181</v>
      </c>
      <c r="D70" s="6" t="s">
        <v>182</v>
      </c>
      <c r="E70" s="15">
        <v>24.13015</v>
      </c>
      <c r="F70" s="8">
        <v>611.68619999999999</v>
      </c>
      <c r="G70" s="9">
        <f t="shared" si="3"/>
        <v>14760.07975893</v>
      </c>
    </row>
    <row r="71" spans="2:7" x14ac:dyDescent="0.2">
      <c r="B71" s="5">
        <v>61</v>
      </c>
      <c r="C71" s="6" t="s">
        <v>183</v>
      </c>
      <c r="D71" s="6" t="s">
        <v>182</v>
      </c>
      <c r="E71" s="15">
        <v>5.3616000000000001</v>
      </c>
      <c r="F71" s="8">
        <v>649.11680000000001</v>
      </c>
      <c r="G71" s="9">
        <f t="shared" si="3"/>
        <v>3480.3046348800003</v>
      </c>
    </row>
    <row r="72" spans="2:7" x14ac:dyDescent="0.2">
      <c r="B72" s="5">
        <v>62</v>
      </c>
      <c r="C72" s="6" t="s">
        <v>184</v>
      </c>
      <c r="D72" s="6" t="s">
        <v>182</v>
      </c>
      <c r="E72" s="15">
        <v>0.31519999999999998</v>
      </c>
      <c r="F72" s="8">
        <v>649.11680000000001</v>
      </c>
      <c r="G72" s="9">
        <f t="shared" si="3"/>
        <v>204.60161535999998</v>
      </c>
    </row>
    <row r="73" spans="2:7" x14ac:dyDescent="0.2">
      <c r="B73" s="5">
        <v>63</v>
      </c>
      <c r="C73" s="6" t="s">
        <v>185</v>
      </c>
      <c r="D73" s="6" t="s">
        <v>182</v>
      </c>
      <c r="E73" s="15">
        <v>0.75919999999999999</v>
      </c>
      <c r="F73" s="8">
        <v>611.68619999999999</v>
      </c>
      <c r="G73" s="9">
        <f t="shared" si="3"/>
        <v>464.39216303999996</v>
      </c>
    </row>
    <row r="74" spans="2:7" x14ac:dyDescent="0.2">
      <c r="B74" s="34" t="s">
        <v>101</v>
      </c>
      <c r="C74" s="35"/>
      <c r="D74" s="35"/>
      <c r="E74" s="35"/>
      <c r="F74" s="36"/>
      <c r="G74" s="10">
        <f>SUM(G68:G73)</f>
        <v>23430.591352210002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6:F66"/>
    <mergeCell ref="B67:G67"/>
    <mergeCell ref="B74:F74"/>
    <mergeCell ref="B1:G1"/>
    <mergeCell ref="B4:G4"/>
    <mergeCell ref="B31:F31"/>
    <mergeCell ref="B32:G32"/>
    <mergeCell ref="B54:F54"/>
    <mergeCell ref="B55:G55"/>
  </mergeCells>
  <pageMargins left="0.35" right="0.35" top="0.35" bottom="0.35" header="0.3" footer="0.3"/>
  <pageSetup paperSize="9" fitToHeight="0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Работы</vt:lpstr>
      <vt:lpstr>Ресурсы</vt:lpstr>
      <vt:lpstr>Работы!Заголовки_для_печати</vt:lpstr>
      <vt:lpstr>Ресурсы!Заголовки_для_печати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admin</cp:lastModifiedBy>
  <dcterms:created xsi:type="dcterms:W3CDTF">2015-02-04T13:10:54Z</dcterms:created>
  <dcterms:modified xsi:type="dcterms:W3CDTF">2016-06-15T18:25:24Z</dcterms:modified>
  <cp:category>Test result file</cp:category>
</cp:coreProperties>
</file>