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0490" windowHeight="7755"/>
  </bookViews>
  <sheets>
    <sheet name="Работы" sheetId="1" r:id="rId1"/>
    <sheet name="Ресурсы" sheetId="2" r:id="rId2"/>
  </sheets>
  <definedNames>
    <definedName name="_xlnm.Print_Titles" localSheetId="0">Работы!$2:$2</definedName>
    <definedName name="_xlnm.Print_Titles" localSheetId="1">Ресурсы!$3:$3</definedName>
  </definedNames>
  <calcPr calcId="152511"/>
</workbook>
</file>

<file path=xl/calcChain.xml><?xml version="1.0" encoding="utf-8"?>
<calcChain xmlns="http://schemas.openxmlformats.org/spreadsheetml/2006/main">
  <c r="L38" i="1" l="1"/>
  <c r="K38" i="1"/>
  <c r="J38" i="1"/>
  <c r="I38" i="1"/>
  <c r="H38" i="1"/>
  <c r="G38" i="1"/>
  <c r="L37" i="1"/>
  <c r="K37" i="1"/>
  <c r="J37" i="1"/>
  <c r="I37" i="1"/>
  <c r="H37" i="1"/>
  <c r="M37" i="1" s="1"/>
  <c r="N37" i="1" s="1"/>
  <c r="G37" i="1"/>
  <c r="L18" i="1"/>
  <c r="K18" i="1"/>
  <c r="J18" i="1"/>
  <c r="I18" i="1"/>
  <c r="H18" i="1"/>
  <c r="G18" i="1"/>
  <c r="L17" i="1"/>
  <c r="K17" i="1"/>
  <c r="J17" i="1"/>
  <c r="I17" i="1"/>
  <c r="H17" i="1"/>
  <c r="G17" i="1"/>
  <c r="L6" i="1"/>
  <c r="K6" i="1"/>
  <c r="J6" i="1"/>
  <c r="I6" i="1"/>
  <c r="H6" i="1"/>
  <c r="G6" i="1"/>
  <c r="M18" i="1" l="1"/>
  <c r="N18" i="1" s="1"/>
  <c r="M38" i="1"/>
  <c r="N38" i="1" s="1"/>
  <c r="M17" i="1"/>
  <c r="N17" i="1" s="1"/>
  <c r="M6" i="1"/>
  <c r="N6" i="1" s="1"/>
  <c r="L5" i="1" l="1"/>
  <c r="K5" i="1"/>
  <c r="J5" i="1"/>
  <c r="I5" i="1"/>
  <c r="H5" i="1"/>
  <c r="G5" i="1"/>
  <c r="M30" i="1"/>
  <c r="M5" i="1" l="1"/>
  <c r="N5" i="1" s="1"/>
  <c r="G4" i="1" l="1"/>
  <c r="H4" i="1"/>
  <c r="I4" i="1"/>
  <c r="J4" i="1"/>
  <c r="K4" i="1"/>
  <c r="L4" i="1"/>
  <c r="G7" i="1"/>
  <c r="H7" i="1"/>
  <c r="I7" i="1"/>
  <c r="J7" i="1"/>
  <c r="K7" i="1"/>
  <c r="L7" i="1"/>
  <c r="G8" i="1"/>
  <c r="H8" i="1"/>
  <c r="I8" i="1"/>
  <c r="J8" i="1"/>
  <c r="K8" i="1"/>
  <c r="L8" i="1"/>
  <c r="G9" i="1"/>
  <c r="H9" i="1"/>
  <c r="I9" i="1"/>
  <c r="J9" i="1"/>
  <c r="K9" i="1"/>
  <c r="L9" i="1"/>
  <c r="G10" i="1"/>
  <c r="H10" i="1"/>
  <c r="I10" i="1"/>
  <c r="J10" i="1"/>
  <c r="K10" i="1"/>
  <c r="L10" i="1"/>
  <c r="G11" i="1"/>
  <c r="H11" i="1"/>
  <c r="I11" i="1"/>
  <c r="J11" i="1"/>
  <c r="K11" i="1"/>
  <c r="L11" i="1"/>
  <c r="G12" i="1"/>
  <c r="H12" i="1"/>
  <c r="I12" i="1"/>
  <c r="J12" i="1"/>
  <c r="K12" i="1"/>
  <c r="L12" i="1"/>
  <c r="G13" i="1"/>
  <c r="H13" i="1"/>
  <c r="I13" i="1"/>
  <c r="J13" i="1"/>
  <c r="K13" i="1"/>
  <c r="L13" i="1"/>
  <c r="G14" i="1"/>
  <c r="H14" i="1"/>
  <c r="I14" i="1"/>
  <c r="J14" i="1"/>
  <c r="K14" i="1"/>
  <c r="L14" i="1"/>
  <c r="G15" i="1"/>
  <c r="H15" i="1"/>
  <c r="I15" i="1"/>
  <c r="J15" i="1"/>
  <c r="K15" i="1"/>
  <c r="L15" i="1"/>
  <c r="G16" i="1"/>
  <c r="H16" i="1"/>
  <c r="I16" i="1"/>
  <c r="J16" i="1"/>
  <c r="K16" i="1"/>
  <c r="L16" i="1"/>
  <c r="G19" i="1"/>
  <c r="H19" i="1"/>
  <c r="I19" i="1"/>
  <c r="J19" i="1"/>
  <c r="K19" i="1"/>
  <c r="L19" i="1"/>
  <c r="G20" i="1"/>
  <c r="H20" i="1"/>
  <c r="I20" i="1"/>
  <c r="J20" i="1"/>
  <c r="K20" i="1"/>
  <c r="L20" i="1"/>
  <c r="G21" i="1"/>
  <c r="H21" i="1"/>
  <c r="I21" i="1"/>
  <c r="J21" i="1"/>
  <c r="K21" i="1"/>
  <c r="L21" i="1"/>
  <c r="G22" i="1"/>
  <c r="H22" i="1"/>
  <c r="I22" i="1"/>
  <c r="J22" i="1"/>
  <c r="K22" i="1"/>
  <c r="L22" i="1"/>
  <c r="G23" i="1"/>
  <c r="H23" i="1"/>
  <c r="I23" i="1"/>
  <c r="J23" i="1"/>
  <c r="K23" i="1"/>
  <c r="L23" i="1"/>
  <c r="G24" i="1"/>
  <c r="H24" i="1"/>
  <c r="I24" i="1"/>
  <c r="J24" i="1"/>
  <c r="K24" i="1"/>
  <c r="L24" i="1"/>
  <c r="G25" i="1"/>
  <c r="H25" i="1"/>
  <c r="I25" i="1"/>
  <c r="J25" i="1"/>
  <c r="K25" i="1"/>
  <c r="L25" i="1"/>
  <c r="G26" i="1"/>
  <c r="H26" i="1"/>
  <c r="I26" i="1"/>
  <c r="J26" i="1"/>
  <c r="K26" i="1"/>
  <c r="L26" i="1"/>
  <c r="G27" i="1"/>
  <c r="H27" i="1"/>
  <c r="I27" i="1"/>
  <c r="J27" i="1"/>
  <c r="K27" i="1"/>
  <c r="L27" i="1"/>
  <c r="G28" i="1"/>
  <c r="H28" i="1"/>
  <c r="I28" i="1"/>
  <c r="J28" i="1"/>
  <c r="K28" i="1"/>
  <c r="L28" i="1"/>
  <c r="G31" i="1"/>
  <c r="H31" i="1"/>
  <c r="I31" i="1"/>
  <c r="J31" i="1"/>
  <c r="K31" i="1"/>
  <c r="L31" i="1"/>
  <c r="G32" i="1"/>
  <c r="H32" i="1"/>
  <c r="I32" i="1"/>
  <c r="J32" i="1"/>
  <c r="K32" i="1"/>
  <c r="L32" i="1"/>
  <c r="G33" i="1"/>
  <c r="H33" i="1"/>
  <c r="I33" i="1"/>
  <c r="J33" i="1"/>
  <c r="K33" i="1"/>
  <c r="L33" i="1"/>
  <c r="G34" i="1"/>
  <c r="H34" i="1"/>
  <c r="I34" i="1"/>
  <c r="J34" i="1"/>
  <c r="K34" i="1"/>
  <c r="L34" i="1"/>
  <c r="G35" i="1"/>
  <c r="H35" i="1"/>
  <c r="I35" i="1"/>
  <c r="J35" i="1"/>
  <c r="K35" i="1"/>
  <c r="L35" i="1"/>
  <c r="G36" i="1"/>
  <c r="H36" i="1"/>
  <c r="I36" i="1"/>
  <c r="J36" i="1"/>
  <c r="K36" i="1"/>
  <c r="L36" i="1"/>
  <c r="G39" i="1"/>
  <c r="H39" i="1"/>
  <c r="I39" i="1"/>
  <c r="J39" i="1"/>
  <c r="K39" i="1"/>
  <c r="L39" i="1"/>
  <c r="G40" i="1"/>
  <c r="H40" i="1"/>
  <c r="I40" i="1"/>
  <c r="J40" i="1"/>
  <c r="K40" i="1"/>
  <c r="L40" i="1"/>
  <c r="G41" i="1"/>
  <c r="H41" i="1"/>
  <c r="I41" i="1"/>
  <c r="J41" i="1"/>
  <c r="K41" i="1"/>
  <c r="L41" i="1"/>
  <c r="G43" i="1"/>
  <c r="H43" i="1"/>
  <c r="I43" i="1"/>
  <c r="J43" i="1"/>
  <c r="K43" i="1"/>
  <c r="L43" i="1"/>
  <c r="G44" i="1"/>
  <c r="H44" i="1"/>
  <c r="I44" i="1"/>
  <c r="J44" i="1"/>
  <c r="K44" i="1"/>
  <c r="L44" i="1"/>
  <c r="G45" i="1"/>
  <c r="H45" i="1"/>
  <c r="I45" i="1"/>
  <c r="J45" i="1"/>
  <c r="K45" i="1"/>
  <c r="L45" i="1"/>
  <c r="G46" i="1"/>
  <c r="H46" i="1"/>
  <c r="I46" i="1"/>
  <c r="J46" i="1"/>
  <c r="K46" i="1"/>
  <c r="L46" i="1"/>
  <c r="G47" i="1"/>
  <c r="H47" i="1"/>
  <c r="I47" i="1"/>
  <c r="J47" i="1"/>
  <c r="K47" i="1"/>
  <c r="L47" i="1"/>
  <c r="G48" i="1"/>
  <c r="H48" i="1"/>
  <c r="I48" i="1"/>
  <c r="J48" i="1"/>
  <c r="K48" i="1"/>
  <c r="L48" i="1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2" i="2"/>
  <c r="G123" i="2"/>
  <c r="G124" i="2"/>
  <c r="G125" i="2"/>
  <c r="G126" i="2"/>
  <c r="G127" i="2"/>
  <c r="G128" i="2"/>
  <c r="G129" i="2"/>
  <c r="G130" i="2"/>
  <c r="G133" i="2"/>
  <c r="G134" i="2"/>
  <c r="G135" i="2"/>
  <c r="G136" i="2"/>
  <c r="G137" i="2"/>
  <c r="G138" i="2"/>
  <c r="G120" i="2" l="1"/>
  <c r="G131" i="2"/>
  <c r="G139" i="2"/>
  <c r="G41" i="2"/>
  <c r="M10" i="1"/>
  <c r="N10" i="1" s="1"/>
  <c r="M47" i="1"/>
  <c r="N47" i="1" s="1"/>
  <c r="M43" i="1"/>
  <c r="N43" i="1" s="1"/>
  <c r="M26" i="1"/>
  <c r="N26" i="1" s="1"/>
  <c r="M22" i="1"/>
  <c r="N22" i="1" s="1"/>
  <c r="M8" i="1"/>
  <c r="N8" i="1" s="1"/>
  <c r="M33" i="1"/>
  <c r="N33" i="1" s="1"/>
  <c r="M23" i="1"/>
  <c r="N23" i="1" s="1"/>
  <c r="M19" i="1"/>
  <c r="N19" i="1" s="1"/>
  <c r="M15" i="1"/>
  <c r="N15" i="1" s="1"/>
  <c r="M39" i="1"/>
  <c r="N39" i="1" s="1"/>
  <c r="M31" i="1"/>
  <c r="N31" i="1" s="1"/>
  <c r="M13" i="1"/>
  <c r="N13" i="1" s="1"/>
  <c r="M46" i="1"/>
  <c r="N46" i="1" s="1"/>
  <c r="M24" i="1"/>
  <c r="N24" i="1" s="1"/>
  <c r="M48" i="1"/>
  <c r="N48" i="1" s="1"/>
  <c r="M40" i="1"/>
  <c r="N40" i="1" s="1"/>
  <c r="M36" i="1"/>
  <c r="N36" i="1" s="1"/>
  <c r="M25" i="1"/>
  <c r="N25" i="1" s="1"/>
  <c r="M21" i="1"/>
  <c r="N21" i="1" s="1"/>
  <c r="M9" i="1"/>
  <c r="N9" i="1" s="1"/>
  <c r="M41" i="1"/>
  <c r="N41" i="1" s="1"/>
  <c r="M27" i="1"/>
  <c r="N27" i="1" s="1"/>
  <c r="M14" i="1"/>
  <c r="N14" i="1" s="1"/>
  <c r="M45" i="1"/>
  <c r="N45" i="1" s="1"/>
  <c r="M32" i="1"/>
  <c r="N32" i="1" s="1"/>
  <c r="M28" i="1"/>
  <c r="N28" i="1" s="1"/>
  <c r="M11" i="1"/>
  <c r="N11" i="1" s="1"/>
  <c r="M7" i="1"/>
  <c r="N7" i="1" s="1"/>
  <c r="M44" i="1"/>
  <c r="N44" i="1" s="1"/>
  <c r="M35" i="1"/>
  <c r="N35" i="1" s="1"/>
  <c r="M34" i="1"/>
  <c r="N34" i="1" s="1"/>
  <c r="M20" i="1"/>
  <c r="N20" i="1" s="1"/>
  <c r="M16" i="1"/>
  <c r="N16" i="1" s="1"/>
  <c r="M12" i="1"/>
  <c r="N12" i="1" s="1"/>
  <c r="M4" i="1"/>
  <c r="M50" i="1" l="1"/>
  <c r="N4" i="1"/>
  <c r="N50" i="1" s="1"/>
  <c r="O48" i="1"/>
  <c r="O41" i="1"/>
</calcChain>
</file>

<file path=xl/sharedStrings.xml><?xml version="1.0" encoding="utf-8"?>
<sst xmlns="http://schemas.openxmlformats.org/spreadsheetml/2006/main" count="371" uniqueCount="239">
  <si>
    <t>№пп</t>
  </si>
  <si>
    <t>Работа</t>
  </si>
  <si>
    <t>Измеритель</t>
  </si>
  <si>
    <t>Кол-во ед. изм.</t>
  </si>
  <si>
    <t>Перио- дичность в год</t>
  </si>
  <si>
    <t>Труд. ресурсы, руб.</t>
  </si>
  <si>
    <t>Матер. ресурсы, руб.</t>
  </si>
  <si>
    <t>Маш. мех., руб.</t>
  </si>
  <si>
    <t>Накл. расходы, руб.</t>
  </si>
  <si>
    <t>Прибыль, руб.</t>
  </si>
  <si>
    <t>Управл. расходы, руб.</t>
  </si>
  <si>
    <t>Стоимость, руб.</t>
  </si>
  <si>
    <t>Постановка заплат на покрытия из мягкой кровли</t>
  </si>
  <si>
    <t>100 м2 заплаты</t>
  </si>
  <si>
    <t>100 м трубопровода</t>
  </si>
  <si>
    <t>Временная заделка свищей и трещин на внутренних трубопроводах и стояках при диаметре трубопровода до 50 мм</t>
  </si>
  <si>
    <t>100 мест</t>
  </si>
  <si>
    <t>1 щит</t>
  </si>
  <si>
    <t>Осмотр территории вокруг здания и фундамента</t>
  </si>
  <si>
    <t>1000 кв.м. общей площади</t>
  </si>
  <si>
    <t>Осмотр кирпичных и железобетонных стен, фасадов</t>
  </si>
  <si>
    <t>Осмотр железобетонных покрытий</t>
  </si>
  <si>
    <t>1000 кв.м. полов</t>
  </si>
  <si>
    <t>Осмотр внутренней отделки стен</t>
  </si>
  <si>
    <t>Проверка исправности  канализационных  вытяжек</t>
  </si>
  <si>
    <t>1000 м2  площади помещений</t>
  </si>
  <si>
    <t>Проверка наличия тяги в  дымовентиляционных каналах</t>
  </si>
  <si>
    <t>Проведение технических осмотров и устранение незначительных неисправностей в системе вентиляции</t>
  </si>
  <si>
    <t>Осмотр  электросети, арматуры, электрооборудования на лестничных клетках</t>
  </si>
  <si>
    <t>100 лестничных площадок</t>
  </si>
  <si>
    <t>1000 м2 осматриваемых помещений</t>
  </si>
  <si>
    <t>Регулировка и наладка систем отопления</t>
  </si>
  <si>
    <t>1 здание</t>
  </si>
  <si>
    <t>Первое рабочее испытание отдельных частей системы</t>
  </si>
  <si>
    <t>Рабочая проверка системы в целом</t>
  </si>
  <si>
    <t>Окончательная проверка при сдаче системы</t>
  </si>
  <si>
    <t>Проверка на прогрев отопительных приборов с регулировкой</t>
  </si>
  <si>
    <t>Промывка трубопроводов системы центрального отопления</t>
  </si>
  <si>
    <t>10 м трубопровода</t>
  </si>
  <si>
    <t>Ликвидация воздушных пробок в стояке системы отопления</t>
  </si>
  <si>
    <t>100 стояков</t>
  </si>
  <si>
    <t>Визуальный осмотр узла учета и проверка наличия и нарушения пломб</t>
  </si>
  <si>
    <t>1 прибор учета</t>
  </si>
  <si>
    <t>Снятие и запись показаний с вычислителя в журнал</t>
  </si>
  <si>
    <t>Устранение аварии на внутридомовых инженерных сетях при сроке эксплуатации многоквартирного дома от 11 до 30  лет</t>
  </si>
  <si>
    <t>1000 м2  общей площади жилых помещений, оборудованных газовыми плитами</t>
  </si>
  <si>
    <t>Подметание в летний период  земельного участка с усовершенствованным покрытием 1 класса</t>
  </si>
  <si>
    <t>1 000 кв.м. территории</t>
  </si>
  <si>
    <t>Уборка газонов от случайного мусора</t>
  </si>
  <si>
    <t>100 000 м2</t>
  </si>
  <si>
    <t>Стрижка газонов</t>
  </si>
  <si>
    <t>на 100 кв.м.</t>
  </si>
  <si>
    <t>Очистка урн от мусора</t>
  </si>
  <si>
    <t>на 100 урн</t>
  </si>
  <si>
    <t>Сдвижка и подметание снега при отсутствии снегопада на придомовой территории с усовершенствованным покрытием 1 класса</t>
  </si>
  <si>
    <t>10 000 кв.м. территории</t>
  </si>
  <si>
    <t>Очистка кровли от мусора, листьев</t>
  </si>
  <si>
    <t>100 кв.м кровли</t>
  </si>
  <si>
    <t>Уборка крыльца и площадки перед входом в подъезд (в холодный период года)</t>
  </si>
  <si>
    <t>100 кв.м</t>
  </si>
  <si>
    <t>Уборка крыльца и площадки перед входом в подъезд (в теплый период года)</t>
  </si>
  <si>
    <t>Очистка контейнерной площадки в холодный период</t>
  </si>
  <si>
    <t>Погрузка мусора на автотранспорт вручную</t>
  </si>
  <si>
    <t>100 куб.м</t>
  </si>
  <si>
    <t>Механизированная погрузка твердых бытовых отходов в кузовные мусоровозы и разгрузка мусоровозов на полигоне ТБО</t>
  </si>
  <si>
    <t>Транспортировка ТБО  на мусоровозе 7,5-11 куб. м (коэффициент уплотнения 1,6)</t>
  </si>
  <si>
    <t>100 куб.м/км</t>
  </si>
  <si>
    <t>Погрузка-разгрузка бункеровоза</t>
  </si>
  <si>
    <t>100 куб. м</t>
  </si>
  <si>
    <t>Транспортировка КГМ на бункеровозе</t>
  </si>
  <si>
    <t>ИТОГО:</t>
  </si>
  <si>
    <t>Смета расходов. Стоимость и количество ресурсов.</t>
  </si>
  <si>
    <t>Ресурс</t>
  </si>
  <si>
    <t>Ед. измерения</t>
  </si>
  <si>
    <t>Цена, руб.</t>
  </si>
  <si>
    <t>Трудовые ресурсы</t>
  </si>
  <si>
    <t>Бетонщик 3 разряда</t>
  </si>
  <si>
    <t>чел.-час</t>
  </si>
  <si>
    <t>Бетонщик 4 разряда</t>
  </si>
  <si>
    <t>Водитель автомобиля 4 разряда</t>
  </si>
  <si>
    <t>Грузчик 1 разряда</t>
  </si>
  <si>
    <t>Дворник 1 разряда</t>
  </si>
  <si>
    <t>Изолировщик на термоизоляции 2 разряда</t>
  </si>
  <si>
    <t>Изолировщик на термоизоляции 3 разряда</t>
  </si>
  <si>
    <t>Каменщик 2 разряда</t>
  </si>
  <si>
    <t>Каменщик 3 разряда</t>
  </si>
  <si>
    <t>Каменщик 4 разряда</t>
  </si>
  <si>
    <t>Кровельщик по рулонным кровлям и по кровлям из штучных материалов 2 разряда</t>
  </si>
  <si>
    <t>Кровельщик по рулонным кровлям и по кровлям из штучных материалов 3 разряда</t>
  </si>
  <si>
    <t>Маляр 2 разряда</t>
  </si>
  <si>
    <t>Маляр 3 разряда</t>
  </si>
  <si>
    <t>Монтажник санитарно-технических систем и оборудования 3 разряда</t>
  </si>
  <si>
    <t>Монтажник санитарно-технических систем и оборудования 4 разряда</t>
  </si>
  <si>
    <t>Подсобный рабочий 1 разряда</t>
  </si>
  <si>
    <t>Рабочий зеленого хозяйства 3 разряда</t>
  </si>
  <si>
    <t>Рабочий по комплексному обслуживанию и ремонту зданий 2 разряда</t>
  </si>
  <si>
    <t>Рабочий по комплексному обслуживанию и ремонту зданий 4 разряда</t>
  </si>
  <si>
    <t>чел/час</t>
  </si>
  <si>
    <t>Слесарь по контрольно-измерительным приборам и автоматике 3 разряда</t>
  </si>
  <si>
    <t>Слесарь по эксплуатации и ремонту газового оборудования 2 разряда</t>
  </si>
  <si>
    <t>Слесарь по эксплуатации и ремонту газового оборудования 4 разряда</t>
  </si>
  <si>
    <t>Слесарь-ремонтник 3 разряда</t>
  </si>
  <si>
    <t>Слесарь-сантехник 2 разряда</t>
  </si>
  <si>
    <t>Слесарь-сантехник 3 разряда</t>
  </si>
  <si>
    <t>Слесарь-сантехник 4 разряда</t>
  </si>
  <si>
    <t>Слесарь-сантехник 5 разряда</t>
  </si>
  <si>
    <t>Слесарь-сантехник 6 разряда</t>
  </si>
  <si>
    <t>Стекольщик 2 разряда</t>
  </si>
  <si>
    <t>Стекольщик 3 разряда</t>
  </si>
  <si>
    <t>Штукатур 3 разряда</t>
  </si>
  <si>
    <t>Электрогазосварщик 4 разряда</t>
  </si>
  <si>
    <t>Электрогазосварщик  5 разряда</t>
  </si>
  <si>
    <t>чел.-час./смену</t>
  </si>
  <si>
    <t>Электромонтер по ремонту и обслуживанию электрооборудования 3 разряда</t>
  </si>
  <si>
    <t>Электромонтер по ремонту и обслуживанию электрооборудования 4 разряда</t>
  </si>
  <si>
    <t>Материальные ресурсы</t>
  </si>
  <si>
    <t xml:space="preserve">Алебастр </t>
  </si>
  <si>
    <t>кг</t>
  </si>
  <si>
    <t>Арматура муфтовая оцинкованная к трубопроводам диаметром 25 мм</t>
  </si>
  <si>
    <t>шт.</t>
  </si>
  <si>
    <t>Ацетилен газообразный технический</t>
  </si>
  <si>
    <t>м3</t>
  </si>
  <si>
    <t>Бензин авиационный Б-70</t>
  </si>
  <si>
    <t>т</t>
  </si>
  <si>
    <t>Болты с гайками и шайбами для санитарно-технических работ, диаметром 16 мм</t>
  </si>
  <si>
    <t>Болты с гайками и шайбами строительные</t>
  </si>
  <si>
    <t>Вентиль обратный муфтовый диаметром до 32 мм</t>
  </si>
  <si>
    <t>Ветонит 5000</t>
  </si>
  <si>
    <t>Ветошь</t>
  </si>
  <si>
    <t>Вода водопроводная</t>
  </si>
  <si>
    <t>Втулки изолирующие текстолитовые</t>
  </si>
  <si>
    <t>1000 шт.</t>
  </si>
  <si>
    <t>Выключатель одноклавишный</t>
  </si>
  <si>
    <t xml:space="preserve">Гвозди толевые  круглые 3,0х40 мм </t>
  </si>
  <si>
    <t>Дисперсия поливинилацетатная гомополимерная грубодисперсная непластифицированная (эмульсия поливинилацетатная)</t>
  </si>
  <si>
    <t>Дрова разделанные длиной 1,5 - 2 м: ель, кедр, пихта, осина, липа</t>
  </si>
  <si>
    <t>Дюбели с калиброванной головкой (в обоймах) с цинковым хроматированным покрытием 2.5х48.5 мм</t>
  </si>
  <si>
    <t xml:space="preserve">Известковое тесто </t>
  </si>
  <si>
    <t>Известь строительная негашеная хлорная марки А</t>
  </si>
  <si>
    <t>Изделия резиновые технические морозостойкие</t>
  </si>
  <si>
    <t xml:space="preserve">Керосин для технических целей марок КТ-1, КТ-2 </t>
  </si>
  <si>
    <t>Кирпич керамический одинарный,  размером 250х120х65 мм, марка   50</t>
  </si>
  <si>
    <t>Кислород технический газообразный</t>
  </si>
  <si>
    <t>Клей казеиновый</t>
  </si>
  <si>
    <t xml:space="preserve">Кольцо уплотнительное (хомут) </t>
  </si>
  <si>
    <t>Краски масляные земляные  МА-0115: мумия, сурик  железный</t>
  </si>
  <si>
    <t>Краски масляные и алкидные густотертые: цинковые МА-011-2</t>
  </si>
  <si>
    <t>Краски масляные и алкидные цветные, готовые к применению для наружных работ МА-15</t>
  </si>
  <si>
    <t>Крепления для трубопроводов: кронштейны, планки, хомуты</t>
  </si>
  <si>
    <t xml:space="preserve">Лен трепаный </t>
  </si>
  <si>
    <t xml:space="preserve">Лента изоляционная прорезиненная односторонняя ширина 20 мм, толщина 0,25-0,35 мм </t>
  </si>
  <si>
    <t>Мастика битумная кровельная горячая</t>
  </si>
  <si>
    <t>Мастика битумно-резиновая</t>
  </si>
  <si>
    <t>Маты на крафт-бумаге Ламелла</t>
  </si>
  <si>
    <t>Маты прошивные из супертонкого стекловолокна без связующего толщиной 50 мм</t>
  </si>
  <si>
    <t>Мел природный молотый</t>
  </si>
  <si>
    <t>Мешки полиэтиленовые, 60 л</t>
  </si>
  <si>
    <t>Моющее средство</t>
  </si>
  <si>
    <t>Накладка резиновая эластичная</t>
  </si>
  <si>
    <t>Олифа комбинированная К-3</t>
  </si>
  <si>
    <t>Олифа натуральная</t>
  </si>
  <si>
    <t>Очес льняной</t>
  </si>
  <si>
    <t>Патроны потолочные</t>
  </si>
  <si>
    <t xml:space="preserve">Песок природный для строительных работ средний </t>
  </si>
  <si>
    <t>Портландцемент общестроительного назначения бездобавочный марки 400</t>
  </si>
  <si>
    <t>Портландцемент пуццолановый  марки М400</t>
  </si>
  <si>
    <t>Предохранители плавкие</t>
  </si>
  <si>
    <t>Провода монтажные одножильные</t>
  </si>
  <si>
    <t>1000 пог. м.</t>
  </si>
  <si>
    <t>Проволока сварочная легированная диаметром 4 мм</t>
  </si>
  <si>
    <t>Прокладки из паронита марки ПМБ, толщиной 3 мм диаметром 300 мм</t>
  </si>
  <si>
    <t xml:space="preserve">Раствор асбоцементный </t>
  </si>
  <si>
    <t>Раствор готовый кладочный цементно-известковый М50</t>
  </si>
  <si>
    <t>Раствор готовый кладочный цементный М100</t>
  </si>
  <si>
    <t>Раствор готовый отделочный тяжелый, цементный 1:2</t>
  </si>
  <si>
    <t>Резина листовая вулканизованная цветная</t>
  </si>
  <si>
    <t>Розетка потолочная диаметр до 500 мм</t>
  </si>
  <si>
    <t>Рубероид подкладочный с пылевидной посыпкой РПП-300а</t>
  </si>
  <si>
    <t>м2</t>
  </si>
  <si>
    <t>Светильник настенный с лампами накаливания</t>
  </si>
  <si>
    <t xml:space="preserve">Сгоны стальные с муфтой и контргайкой, диаметром 20 мм   </t>
  </si>
  <si>
    <t>Сетка плетеная одинарная с квадратной ячейкой 12 мм из  проволоки диаметром 1,4 мм</t>
  </si>
  <si>
    <t xml:space="preserve">Сжим ответвительный </t>
  </si>
  <si>
    <t>Скобы металлические</t>
  </si>
  <si>
    <t>Стекло листовое площадью до 1.0 м2, 1 группы, толщиной 3 мм марки М1</t>
  </si>
  <si>
    <t>Сурик свинцовый тертый</t>
  </si>
  <si>
    <t>Тальк молотый I сорта</t>
  </si>
  <si>
    <t>Ткань мешочная</t>
  </si>
  <si>
    <t>10 м2</t>
  </si>
  <si>
    <t>Трубки защитные гофрированные</t>
  </si>
  <si>
    <t>пог. м.</t>
  </si>
  <si>
    <t>Трубопровод из стальных электросварных труб д. 45 мм</t>
  </si>
  <si>
    <t>пог. м</t>
  </si>
  <si>
    <t>Трубопроводы канализационные из полиэтиленовых труб высокой плотности с гильзами диаметром 100 мм</t>
  </si>
  <si>
    <t>Трубопроводы канализационные из полиэтиленовых труб высокой плотности с гильзами диаметром 50 мм</t>
  </si>
  <si>
    <t>Трубы металл-полимерные многослойные для горячего водоснабжения диаметром до 32 мм</t>
  </si>
  <si>
    <t>Трубы стальные сварные водогазопроводные с резьбой оцинкованные обыкновенные диаметр условного прохода 25 мм, толщина стенки 3.2 мм</t>
  </si>
  <si>
    <t>Фиксатор пластмассовый ординарный для металлполимерных труб</t>
  </si>
  <si>
    <t>Цемент глиноземистый марки 400</t>
  </si>
  <si>
    <t>Шкурка шлифовальная двухслойная с зернистостью 40-25</t>
  </si>
  <si>
    <t>Шнур полиамидный крученый диаметром 2 мм</t>
  </si>
  <si>
    <t>Штапики</t>
  </si>
  <si>
    <t>Электроды диаметром 5 мм Э42</t>
  </si>
  <si>
    <t>Специнвентарь</t>
  </si>
  <si>
    <t>Ведро  оцинкованное, 12 л</t>
  </si>
  <si>
    <t xml:space="preserve">Веник обыкновенный </t>
  </si>
  <si>
    <t>Лопата совковая</t>
  </si>
  <si>
    <t>Лопата штыковая</t>
  </si>
  <si>
    <t>Метла березовая</t>
  </si>
  <si>
    <t>Скребок-ледоруб</t>
  </si>
  <si>
    <t>Совок металлический</t>
  </si>
  <si>
    <t xml:space="preserve">Швабра </t>
  </si>
  <si>
    <t>Щетка д/пола 280 мм с черенком на резьбе 1,2 м.</t>
  </si>
  <si>
    <t>Машины/Механизмы</t>
  </si>
  <si>
    <t>Газонокосилка</t>
  </si>
  <si>
    <t>маш.-час</t>
  </si>
  <si>
    <t>Краны на автомобильном ходу при работе на других видах строительства 10 т</t>
  </si>
  <si>
    <t>Погрузка в мусоровоз 7,5-11 куб.м</t>
  </si>
  <si>
    <t>маш.-час.</t>
  </si>
  <si>
    <t>Погрузка-разгрузка бункеровоза КГМ 7,8 куб. м</t>
  </si>
  <si>
    <t>Транспортировка КГМ на бункеровозе 7,8 куб.м</t>
  </si>
  <si>
    <t>Транспортировка на мусоровозе 7,5-11 куб.м</t>
  </si>
  <si>
    <t>Осмотр устройства системы центрального отопления в подвальных помещениях</t>
  </si>
  <si>
    <t>Стоимость, руб./кв.м</t>
  </si>
  <si>
    <t>МКД Кузнецова 59</t>
  </si>
  <si>
    <t>Обслуживание внутридомового газового оборудования (ВДГО) по договору с специализированной организацией</t>
  </si>
  <si>
    <t>Модернизация внутридомовых тепловых сетей путем замены на трубопроводы из многослойных металл-полимерных труб при стояковой системе отопления диаметром до 32 мм</t>
  </si>
  <si>
    <t>пог.м.</t>
  </si>
  <si>
    <t>Изготовление и установка дверей и заслонок в проемах подвальных и чердачных помещений</t>
  </si>
  <si>
    <t>1 полотно</t>
  </si>
  <si>
    <t>Ревизия электрощитков</t>
  </si>
  <si>
    <t>Проверка изоляции электропроводки и ее укрепление</t>
  </si>
  <si>
    <t>100 м</t>
  </si>
  <si>
    <t>Проверка заземления оболочки электрокабеля</t>
  </si>
  <si>
    <t>Подготовка смеси песка с хлоридами</t>
  </si>
  <si>
    <t>1 куб. м</t>
  </si>
  <si>
    <t>Посыпка территории I класса</t>
  </si>
  <si>
    <t>100 кв. м</t>
  </si>
  <si>
    <t>План работ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</si>
</sst>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9"/>
      <color indexed="8"/>
      <name val="Arial"/>
    </font>
    <font>
      <b/>
      <sz val="18"/>
      <color indexed="10"/>
      <name val="Courier"/>
    </font>
    <font>
      <b/>
      <sz val="10"/>
      <color indexed="9"/>
      <name val="Courier"/>
    </font>
    <font>
      <b/>
      <sz val="9"/>
      <color indexed="10"/>
      <name val="Arial"/>
    </font>
    <font>
      <b/>
      <sz val="12"/>
      <color indexed="10"/>
      <name val="Courier"/>
    </font>
    <font>
      <b/>
      <sz val="9"/>
      <color indexed="12"/>
      <name val="Arial"/>
    </font>
    <font>
      <sz val="9"/>
      <name val="Arial"/>
      <family val="2"/>
      <charset val="204"/>
    </font>
    <font>
      <b/>
      <sz val="18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46">
    <xf numFmtId="0" fontId="0" fillId="0" borderId="0" xfId="0" applyFill="1" applyProtection="1"/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left" vertical="center" wrapText="1"/>
    </xf>
    <xf numFmtId="4" fontId="0" fillId="0" borderId="8" xfId="0" applyNumberFormat="1" applyFill="1" applyBorder="1" applyAlignment="1" applyProtection="1">
      <alignment horizontal="right" vertical="center"/>
    </xf>
    <xf numFmtId="4" fontId="0" fillId="0" borderId="11" xfId="0" applyNumberFormat="1" applyFill="1" applyBorder="1" applyAlignment="1" applyProtection="1">
      <alignment horizontal="right" vertical="center"/>
    </xf>
    <xf numFmtId="4" fontId="3" fillId="0" borderId="12" xfId="0" applyNumberFormat="1" applyFont="1" applyFill="1" applyBorder="1" applyAlignment="1" applyProtection="1">
      <alignment horizontal="right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left" vertical="center" wrapText="1"/>
    </xf>
    <xf numFmtId="0" fontId="0" fillId="0" borderId="7" xfId="0" applyFill="1" applyBorder="1" applyAlignment="1" applyProtection="1">
      <alignment horizontal="right" vertical="center"/>
    </xf>
    <xf numFmtId="4" fontId="0" fillId="0" borderId="7" xfId="0" applyNumberFormat="1" applyFill="1" applyBorder="1" applyAlignment="1" applyProtection="1">
      <alignment horizontal="right" vertical="center"/>
    </xf>
    <xf numFmtId="0" fontId="0" fillId="0" borderId="8" xfId="0" applyFill="1" applyBorder="1" applyAlignment="1" applyProtection="1">
      <alignment horizontal="right" vertical="center"/>
    </xf>
    <xf numFmtId="4" fontId="0" fillId="0" borderId="10" xfId="0" applyNumberFormat="1" applyFill="1" applyBorder="1" applyAlignment="1" applyProtection="1">
      <alignment horizontal="right" vertical="center"/>
    </xf>
    <xf numFmtId="4" fontId="5" fillId="0" borderId="8" xfId="0" applyNumberFormat="1" applyFont="1" applyFill="1" applyBorder="1" applyAlignment="1" applyProtection="1">
      <alignment horizontal="right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left" vertical="center" wrapText="1"/>
    </xf>
    <xf numFmtId="4" fontId="6" fillId="3" borderId="13" xfId="0" applyNumberFormat="1" applyFont="1" applyFill="1" applyBorder="1" applyAlignment="1" applyProtection="1">
      <alignment horizontal="right" vertical="center" wrapText="1"/>
    </xf>
    <xf numFmtId="0" fontId="6" fillId="3" borderId="13" xfId="0" applyFont="1" applyFill="1" applyBorder="1" applyAlignment="1" applyProtection="1">
      <alignment horizontal="center" vertical="center"/>
    </xf>
    <xf numFmtId="0" fontId="6" fillId="3" borderId="0" xfId="0" applyFont="1" applyFill="1" applyProtection="1"/>
    <xf numFmtId="164" fontId="6" fillId="3" borderId="13" xfId="0" applyNumberFormat="1" applyFont="1" applyFill="1" applyBorder="1" applyAlignment="1" applyProtection="1">
      <alignment horizontal="center" vertical="center"/>
    </xf>
    <xf numFmtId="164" fontId="6" fillId="3" borderId="0" xfId="0" applyNumberFormat="1" applyFont="1" applyFill="1" applyProtection="1"/>
    <xf numFmtId="0" fontId="8" fillId="4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Protection="1"/>
    <xf numFmtId="0" fontId="8" fillId="4" borderId="13" xfId="0" applyFont="1" applyFill="1" applyBorder="1" applyAlignment="1" applyProtection="1">
      <alignment horizontal="center" vertical="center" wrapText="1"/>
    </xf>
    <xf numFmtId="0" fontId="8" fillId="4" borderId="13" xfId="0" applyFont="1" applyFill="1" applyBorder="1" applyAlignment="1" applyProtection="1">
      <alignment horizontal="center" vertical="center"/>
    </xf>
    <xf numFmtId="4" fontId="6" fillId="3" borderId="13" xfId="0" applyNumberFormat="1" applyFont="1" applyFill="1" applyBorder="1" applyAlignment="1" applyProtection="1">
      <alignment horizontal="right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4" fontId="6" fillId="3" borderId="13" xfId="0" applyNumberFormat="1" applyFont="1" applyFill="1" applyBorder="1" applyAlignment="1" applyProtection="1">
      <alignment horizontal="center" vertical="center"/>
    </xf>
    <xf numFmtId="164" fontId="6" fillId="3" borderId="13" xfId="0" applyNumberFormat="1" applyFont="1" applyFill="1" applyBorder="1" applyProtection="1"/>
    <xf numFmtId="4" fontId="6" fillId="3" borderId="13" xfId="0" applyNumberFormat="1" applyFont="1" applyFill="1" applyBorder="1" applyProtection="1"/>
    <xf numFmtId="0" fontId="9" fillId="3" borderId="13" xfId="0" applyFont="1" applyFill="1" applyBorder="1" applyAlignment="1" applyProtection="1">
      <alignment horizontal="center" vertical="center"/>
    </xf>
    <xf numFmtId="0" fontId="9" fillId="3" borderId="13" xfId="0" applyFont="1" applyFill="1" applyBorder="1" applyAlignment="1" applyProtection="1">
      <alignment horizontal="left" vertical="center"/>
    </xf>
    <xf numFmtId="4" fontId="9" fillId="3" borderId="13" xfId="0" applyNumberFormat="1" applyFont="1" applyFill="1" applyBorder="1" applyAlignment="1" applyProtection="1">
      <alignment horizontal="right" vertical="center"/>
    </xf>
    <xf numFmtId="0" fontId="6" fillId="3" borderId="13" xfId="0" applyFont="1" applyFill="1" applyBorder="1" applyAlignment="1" applyProtection="1"/>
    <xf numFmtId="0" fontId="6" fillId="3" borderId="13" xfId="0" applyFont="1" applyFill="1" applyBorder="1" applyAlignment="1" applyProtection="1">
      <alignment horizontal="center" vertical="center" wrapText="1"/>
    </xf>
    <xf numFmtId="0" fontId="7" fillId="3" borderId="15" xfId="0" applyFont="1" applyFill="1" applyBorder="1" applyAlignment="1" applyProtection="1">
      <alignment horizontal="center" vertical="center"/>
    </xf>
    <xf numFmtId="0" fontId="7" fillId="3" borderId="16" xfId="0" applyFont="1" applyFill="1" applyBorder="1" applyAlignment="1" applyProtection="1">
      <alignment horizontal="center" vertical="center"/>
    </xf>
    <xf numFmtId="0" fontId="7" fillId="3" borderId="17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left" vertical="center"/>
    </xf>
    <xf numFmtId="0" fontId="3" fillId="0" borderId="9" xfId="0" applyFont="1" applyFill="1" applyBorder="1" applyAlignment="1" applyProtection="1">
      <alignment horizontal="left" vertical="center"/>
    </xf>
    <xf numFmtId="4" fontId="3" fillId="0" borderId="9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00000"/>
      <rgbColor rgb="004682B4"/>
      <rgbColor rgb="000000B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tabSelected="1" topLeftCell="B1" workbookViewId="0">
      <selection activeCell="B1" sqref="B1:N1"/>
    </sheetView>
  </sheetViews>
  <sheetFormatPr defaultColWidth="9.140625" defaultRowHeight="12" x14ac:dyDescent="0.2"/>
  <cols>
    <col min="1" max="1" width="0" style="21" hidden="1" customWidth="1"/>
    <col min="2" max="2" width="7" style="21" customWidth="1"/>
    <col min="3" max="3" width="50" style="21" customWidth="1"/>
    <col min="4" max="4" width="18" style="21" customWidth="1"/>
    <col min="5" max="5" width="15" style="21" customWidth="1"/>
    <col min="6" max="6" width="12" style="21" customWidth="1"/>
    <col min="7" max="12" width="13" style="21" hidden="1" customWidth="1"/>
    <col min="13" max="13" width="15" style="21" customWidth="1"/>
    <col min="14" max="14" width="11.85546875" style="21" customWidth="1"/>
    <col min="15" max="16384" width="9.140625" style="21"/>
  </cols>
  <sheetData>
    <row r="1" spans="1:14" ht="27.95" customHeight="1" thickBot="1" x14ac:dyDescent="0.25">
      <c r="B1" s="38" t="s">
        <v>238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40"/>
    </row>
    <row r="2" spans="1:14" ht="39" thickBot="1" x14ac:dyDescent="0.25">
      <c r="A2" s="24"/>
      <c r="B2" s="26" t="s">
        <v>0</v>
      </c>
      <c r="C2" s="27" t="s">
        <v>1</v>
      </c>
      <c r="D2" s="27" t="s">
        <v>2</v>
      </c>
      <c r="E2" s="26" t="s">
        <v>3</v>
      </c>
      <c r="F2" s="26" t="s">
        <v>4</v>
      </c>
      <c r="G2" s="26" t="s">
        <v>5</v>
      </c>
      <c r="H2" s="26" t="s">
        <v>6</v>
      </c>
      <c r="I2" s="26" t="s">
        <v>7</v>
      </c>
      <c r="J2" s="26" t="s">
        <v>8</v>
      </c>
      <c r="K2" s="26" t="s">
        <v>9</v>
      </c>
      <c r="L2" s="26" t="s">
        <v>10</v>
      </c>
      <c r="M2" s="26" t="s">
        <v>11</v>
      </c>
      <c r="N2" s="26" t="s">
        <v>223</v>
      </c>
    </row>
    <row r="3" spans="1:14" ht="20.100000000000001" customHeight="1" x14ac:dyDescent="0.2">
      <c r="B3" s="33" t="s">
        <v>224</v>
      </c>
      <c r="C3" s="34"/>
      <c r="D3" s="34"/>
      <c r="E3" s="33"/>
      <c r="F3" s="33"/>
      <c r="G3" s="35"/>
      <c r="H3" s="35"/>
      <c r="I3" s="35"/>
      <c r="J3" s="35"/>
      <c r="K3" s="35"/>
      <c r="L3" s="35"/>
      <c r="M3" s="35"/>
      <c r="N3" s="36"/>
    </row>
    <row r="4" spans="1:14" x14ac:dyDescent="0.2">
      <c r="B4" s="20">
        <v>1</v>
      </c>
      <c r="C4" s="18" t="s">
        <v>12</v>
      </c>
      <c r="D4" s="18" t="s">
        <v>13</v>
      </c>
      <c r="E4" s="17">
        <v>0.01</v>
      </c>
      <c r="F4" s="17">
        <v>1</v>
      </c>
      <c r="G4" s="28">
        <f>4299.1065*E4*F4</f>
        <v>42.991064999999999</v>
      </c>
      <c r="H4" s="28">
        <f>26311.54060142*E4*F4</f>
        <v>263.1154060142</v>
      </c>
      <c r="I4" s="28">
        <f t="shared" ref="I4:I11" si="0">0*E4*F4</f>
        <v>0</v>
      </c>
      <c r="J4" s="28">
        <f>4866.588558*E4*F4</f>
        <v>48.665885580000008</v>
      </c>
      <c r="K4" s="28">
        <f>5498.9715272101*E4*F4</f>
        <v>54.989715272101002</v>
      </c>
      <c r="L4" s="28">
        <f>859.8213*E4*F4</f>
        <v>8.5982129999999994</v>
      </c>
      <c r="M4" s="28">
        <f t="shared" ref="M4:M9" si="1">SUM(G4:L4)</f>
        <v>418.36028486630101</v>
      </c>
      <c r="N4" s="22">
        <f t="shared" ref="N4:N48" si="2">M4/3471.1/4</f>
        <v>3.0131679069048789E-2</v>
      </c>
    </row>
    <row r="5" spans="1:14" ht="48" x14ac:dyDescent="0.2">
      <c r="B5" s="17">
        <v>11</v>
      </c>
      <c r="C5" s="18" t="s">
        <v>226</v>
      </c>
      <c r="D5" s="18" t="s">
        <v>227</v>
      </c>
      <c r="E5" s="17">
        <v>6</v>
      </c>
      <c r="F5" s="17">
        <v>1</v>
      </c>
      <c r="G5" s="19">
        <f>302.100975*E5*F5</f>
        <v>1812.6058499999999</v>
      </c>
      <c r="H5" s="19">
        <f>252.1899942*E5*F5</f>
        <v>1513.1399652</v>
      </c>
      <c r="I5" s="19">
        <f t="shared" si="0"/>
        <v>0</v>
      </c>
      <c r="J5" s="19">
        <f>341.9783037*E5*F5</f>
        <v>2051.8698222000003</v>
      </c>
      <c r="K5" s="19">
        <f>138.9217372995*E5*F5</f>
        <v>833.53042379699991</v>
      </c>
      <c r="L5" s="19">
        <f>60.420195*E5*F5</f>
        <v>362.52116999999998</v>
      </c>
      <c r="M5" s="19">
        <f t="shared" si="1"/>
        <v>6573.6672311969996</v>
      </c>
      <c r="N5" s="22">
        <f t="shared" si="2"/>
        <v>0.47345706196861226</v>
      </c>
    </row>
    <row r="6" spans="1:14" ht="24" x14ac:dyDescent="0.2">
      <c r="B6" s="20">
        <v>4</v>
      </c>
      <c r="C6" s="18" t="s">
        <v>228</v>
      </c>
      <c r="D6" s="18" t="s">
        <v>229</v>
      </c>
      <c r="E6" s="17">
        <v>2</v>
      </c>
      <c r="F6" s="17">
        <v>1</v>
      </c>
      <c r="G6" s="19">
        <f>343.76136*3*E6*F6</f>
        <v>2062.5681600000003</v>
      </c>
      <c r="H6" s="19">
        <f>2322.4404816776*E6*F6</f>
        <v>4644.8809633552</v>
      </c>
      <c r="I6" s="19">
        <f>1894*E6*F6</f>
        <v>3788</v>
      </c>
      <c r="J6" s="19">
        <f>389.13785952*E6*F6</f>
        <v>778.27571904000001</v>
      </c>
      <c r="K6" s="19">
        <f>473.57765368563*E6*F6</f>
        <v>947.15530737126005</v>
      </c>
      <c r="L6" s="19">
        <f>68.752272*E6*F6</f>
        <v>137.50454400000001</v>
      </c>
      <c r="M6" s="19">
        <f t="shared" si="1"/>
        <v>12358.38469376646</v>
      </c>
      <c r="N6" s="22">
        <f t="shared" si="2"/>
        <v>0.89009137548374151</v>
      </c>
    </row>
    <row r="7" spans="1:14" ht="36" x14ac:dyDescent="0.2">
      <c r="B7" s="20">
        <v>11</v>
      </c>
      <c r="C7" s="18" t="s">
        <v>15</v>
      </c>
      <c r="D7" s="18" t="s">
        <v>16</v>
      </c>
      <c r="E7" s="17">
        <v>0.02</v>
      </c>
      <c r="F7" s="17">
        <v>1</v>
      </c>
      <c r="G7" s="28">
        <f>4260.9385*E7*F7</f>
        <v>85.218770000000006</v>
      </c>
      <c r="H7" s="28">
        <f>13435.1460364*E7*F7</f>
        <v>268.70292072799998</v>
      </c>
      <c r="I7" s="28">
        <f t="shared" si="0"/>
        <v>0</v>
      </c>
      <c r="J7" s="28">
        <f>4823.382382*E7*F7</f>
        <v>96.467647639999996</v>
      </c>
      <c r="K7" s="28">
        <f>3490.517372352*E7*F7</f>
        <v>69.810347447040002</v>
      </c>
      <c r="L7" s="28">
        <f>852.1877*E7*F7</f>
        <v>17.043754</v>
      </c>
      <c r="M7" s="28">
        <f t="shared" si="1"/>
        <v>537.24343981504001</v>
      </c>
      <c r="N7" s="22">
        <f t="shared" si="2"/>
        <v>3.8694033578335396E-2</v>
      </c>
    </row>
    <row r="8" spans="1:14" x14ac:dyDescent="0.2">
      <c r="B8" s="20">
        <v>25</v>
      </c>
      <c r="C8" s="18" t="s">
        <v>230</v>
      </c>
      <c r="D8" s="18" t="s">
        <v>17</v>
      </c>
      <c r="E8" s="17">
        <v>20</v>
      </c>
      <c r="F8" s="17">
        <v>1</v>
      </c>
      <c r="G8" s="28">
        <f>157.150565*E8*F8</f>
        <v>3143.0113000000001</v>
      </c>
      <c r="H8" s="28">
        <f>18.86000844*E8*F8</f>
        <v>377.20016880000003</v>
      </c>
      <c r="I8" s="28">
        <f t="shared" si="0"/>
        <v>0</v>
      </c>
      <c r="J8" s="28">
        <f>177.89443958*E8*F8</f>
        <v>3557.8887916000003</v>
      </c>
      <c r="K8" s="28">
        <f>54.8552770181*E8*F8</f>
        <v>1097.1055403619998</v>
      </c>
      <c r="L8" s="28">
        <f>31.430113*E8*F8</f>
        <v>628.60226</v>
      </c>
      <c r="M8" s="28">
        <f t="shared" si="1"/>
        <v>8803.8080607619995</v>
      </c>
      <c r="N8" s="22">
        <f t="shared" si="2"/>
        <v>0.63407911474474954</v>
      </c>
    </row>
    <row r="9" spans="1:14" ht="24" x14ac:dyDescent="0.2">
      <c r="B9" s="20">
        <v>32</v>
      </c>
      <c r="C9" s="18" t="s">
        <v>18</v>
      </c>
      <c r="D9" s="18" t="s">
        <v>19</v>
      </c>
      <c r="E9" s="17">
        <v>2.88</v>
      </c>
      <c r="F9" s="17">
        <v>1</v>
      </c>
      <c r="G9" s="28">
        <f>44.912595*E9*F9</f>
        <v>129.3482736</v>
      </c>
      <c r="H9" s="28">
        <f t="shared" ref="H9:H24" si="3">0*E9*F9</f>
        <v>0</v>
      </c>
      <c r="I9" s="28">
        <f t="shared" si="0"/>
        <v>0</v>
      </c>
      <c r="J9" s="28">
        <f>50.84105754*E9*F9</f>
        <v>146.42224571520001</v>
      </c>
      <c r="K9" s="28">
        <f>14.8418161437*E9*F9</f>
        <v>42.744430493855994</v>
      </c>
      <c r="L9" s="28">
        <f>8.982519*E9*F9</f>
        <v>25.86965472</v>
      </c>
      <c r="M9" s="28">
        <f t="shared" si="1"/>
        <v>344.38460452905599</v>
      </c>
      <c r="N9" s="22">
        <f t="shared" si="2"/>
        <v>2.4803708084544959E-2</v>
      </c>
    </row>
    <row r="10" spans="1:14" ht="24" x14ac:dyDescent="0.2">
      <c r="B10" s="20">
        <v>33</v>
      </c>
      <c r="C10" s="18" t="s">
        <v>20</v>
      </c>
      <c r="D10" s="18" t="s">
        <v>19</v>
      </c>
      <c r="E10" s="17">
        <v>2.452</v>
      </c>
      <c r="F10" s="17">
        <v>1</v>
      </c>
      <c r="G10" s="28">
        <f>358.149155*E10*F10</f>
        <v>878.18172805999995</v>
      </c>
      <c r="H10" s="28">
        <f t="shared" si="3"/>
        <v>0</v>
      </c>
      <c r="I10" s="28">
        <f t="shared" si="0"/>
        <v>0</v>
      </c>
      <c r="J10" s="28">
        <f>405.42484346*E10*F10</f>
        <v>994.10171616391995</v>
      </c>
      <c r="K10" s="28">
        <f>118.3539697613*E10*F10</f>
        <v>290.2039338547076</v>
      </c>
      <c r="L10" s="28">
        <f>71.629831*E10*F10</f>
        <v>175.63634561199999</v>
      </c>
      <c r="M10" s="28">
        <f t="shared" ref="M10:M33" si="4">SUM(G10:L10)</f>
        <v>2338.1237236906272</v>
      </c>
      <c r="N10" s="22">
        <f t="shared" si="2"/>
        <v>0.16839933477072305</v>
      </c>
    </row>
    <row r="11" spans="1:14" x14ac:dyDescent="0.2">
      <c r="B11" s="20">
        <v>34</v>
      </c>
      <c r="C11" s="18" t="s">
        <v>21</v>
      </c>
      <c r="D11" s="18" t="s">
        <v>22</v>
      </c>
      <c r="E11" s="17">
        <v>0.48599999999999999</v>
      </c>
      <c r="F11" s="17">
        <v>1</v>
      </c>
      <c r="G11" s="28">
        <f>145.46168*E11*F11</f>
        <v>70.694376480000003</v>
      </c>
      <c r="H11" s="28">
        <f t="shared" si="3"/>
        <v>0</v>
      </c>
      <c r="I11" s="28">
        <f t="shared" si="0"/>
        <v>0</v>
      </c>
      <c r="J11" s="28">
        <f>164.66262176*E11*F11</f>
        <v>80.026034175359996</v>
      </c>
      <c r="K11" s="28">
        <f>48.0692667728*E11*F11</f>
        <v>23.361663651580798</v>
      </c>
      <c r="L11" s="28">
        <f>29.092336*E11*F11</f>
        <v>14.138875296</v>
      </c>
      <c r="M11" s="28">
        <f t="shared" si="4"/>
        <v>188.22094960294081</v>
      </c>
      <c r="N11" s="22">
        <f t="shared" si="2"/>
        <v>1.3556289764263549E-2</v>
      </c>
    </row>
    <row r="12" spans="1:14" ht="24" x14ac:dyDescent="0.2">
      <c r="B12" s="20">
        <v>35</v>
      </c>
      <c r="C12" s="18" t="s">
        <v>23</v>
      </c>
      <c r="D12" s="18" t="s">
        <v>19</v>
      </c>
      <c r="E12" s="17">
        <v>1.268</v>
      </c>
      <c r="F12" s="17">
        <v>1</v>
      </c>
      <c r="G12" s="28">
        <f>519.506*E12*F12</f>
        <v>658.733608</v>
      </c>
      <c r="H12" s="28">
        <f t="shared" si="3"/>
        <v>0</v>
      </c>
      <c r="I12" s="28">
        <f t="shared" ref="I12:I33" si="5">0*E12*F12</f>
        <v>0</v>
      </c>
      <c r="J12" s="28">
        <f>588.080792*E12*F12</f>
        <v>745.68644425599996</v>
      </c>
      <c r="K12" s="28">
        <f>171.67595276*E12*F12</f>
        <v>217.68510809968001</v>
      </c>
      <c r="L12" s="28">
        <f>103.9012*E12*F12</f>
        <v>131.7467216</v>
      </c>
      <c r="M12" s="28">
        <f t="shared" si="4"/>
        <v>1753.85188195568</v>
      </c>
      <c r="N12" s="22">
        <f t="shared" si="2"/>
        <v>0.12631816153061565</v>
      </c>
    </row>
    <row r="13" spans="1:14" ht="24" x14ac:dyDescent="0.2">
      <c r="B13" s="20">
        <v>37</v>
      </c>
      <c r="C13" s="18" t="s">
        <v>24</v>
      </c>
      <c r="D13" s="18" t="s">
        <v>25</v>
      </c>
      <c r="E13" s="17">
        <v>0.65</v>
      </c>
      <c r="F13" s="17">
        <v>1</v>
      </c>
      <c r="G13" s="28">
        <f>483.6741*E13*F13</f>
        <v>314.38816500000001</v>
      </c>
      <c r="H13" s="28">
        <f t="shared" si="3"/>
        <v>0</v>
      </c>
      <c r="I13" s="28">
        <f t="shared" si="5"/>
        <v>0</v>
      </c>
      <c r="J13" s="28">
        <f>547.5190812*E13*F13</f>
        <v>355.88740278</v>
      </c>
      <c r="K13" s="28">
        <f>159.834943086*E13*F13</f>
        <v>103.89271300590001</v>
      </c>
      <c r="L13" s="28">
        <f>96.73482*E13*F13</f>
        <v>62.877633000000003</v>
      </c>
      <c r="M13" s="28">
        <f t="shared" si="4"/>
        <v>837.04591378589998</v>
      </c>
      <c r="N13" s="22">
        <f t="shared" si="2"/>
        <v>6.0286790483268994E-2</v>
      </c>
    </row>
    <row r="14" spans="1:14" ht="24" x14ac:dyDescent="0.2">
      <c r="B14" s="20">
        <v>38</v>
      </c>
      <c r="C14" s="18" t="s">
        <v>26</v>
      </c>
      <c r="D14" s="18" t="s">
        <v>25</v>
      </c>
      <c r="E14" s="17">
        <v>0.65</v>
      </c>
      <c r="F14" s="17">
        <v>1</v>
      </c>
      <c r="G14" s="28">
        <f>483.6741*E14*F14</f>
        <v>314.38816500000001</v>
      </c>
      <c r="H14" s="28">
        <f t="shared" si="3"/>
        <v>0</v>
      </c>
      <c r="I14" s="28">
        <f t="shared" si="5"/>
        <v>0</v>
      </c>
      <c r="J14" s="28">
        <f>547.5190812*E14*F14</f>
        <v>355.88740278</v>
      </c>
      <c r="K14" s="28">
        <f>159.834943086*E14*F14</f>
        <v>103.89271300590001</v>
      </c>
      <c r="L14" s="28">
        <f>96.73482*E14*F14</f>
        <v>62.877633000000003</v>
      </c>
      <c r="M14" s="28">
        <f t="shared" si="4"/>
        <v>837.04591378589998</v>
      </c>
      <c r="N14" s="22">
        <f t="shared" si="2"/>
        <v>6.0286790483268994E-2</v>
      </c>
    </row>
    <row r="15" spans="1:14" ht="24" x14ac:dyDescent="0.2">
      <c r="B15" s="20">
        <v>39</v>
      </c>
      <c r="C15" s="18" t="s">
        <v>27</v>
      </c>
      <c r="D15" s="18" t="s">
        <v>25</v>
      </c>
      <c r="E15" s="17">
        <v>3.4710000000000001</v>
      </c>
      <c r="F15" s="17">
        <v>1</v>
      </c>
      <c r="G15" s="28">
        <f>483.6741*E15*F15</f>
        <v>1678.8328011000001</v>
      </c>
      <c r="H15" s="28">
        <f t="shared" si="3"/>
        <v>0</v>
      </c>
      <c r="I15" s="28">
        <f t="shared" si="5"/>
        <v>0</v>
      </c>
      <c r="J15" s="28">
        <f>547.5190812*E15*F15</f>
        <v>1900.4387308451999</v>
      </c>
      <c r="K15" s="28">
        <f>159.834943086*E15*F15</f>
        <v>554.78708745150607</v>
      </c>
      <c r="L15" s="28">
        <f>96.73482*E15*F15</f>
        <v>335.76656022000003</v>
      </c>
      <c r="M15" s="28">
        <f t="shared" si="4"/>
        <v>4469.8251796167069</v>
      </c>
      <c r="N15" s="22">
        <f t="shared" si="2"/>
        <v>0.32193146118065652</v>
      </c>
    </row>
    <row r="16" spans="1:14" ht="24" x14ac:dyDescent="0.2">
      <c r="B16" s="20">
        <v>40</v>
      </c>
      <c r="C16" s="18" t="s">
        <v>28</v>
      </c>
      <c r="D16" s="18" t="s">
        <v>29</v>
      </c>
      <c r="E16" s="17">
        <v>0.2</v>
      </c>
      <c r="F16" s="17">
        <v>1</v>
      </c>
      <c r="G16" s="28">
        <f>1168.8885*E16*F16</f>
        <v>233.77770000000001</v>
      </c>
      <c r="H16" s="28">
        <f t="shared" si="3"/>
        <v>0</v>
      </c>
      <c r="I16" s="28">
        <f t="shared" si="5"/>
        <v>0</v>
      </c>
      <c r="J16" s="28">
        <f>1323.181782*E16*F16</f>
        <v>264.63635640000001</v>
      </c>
      <c r="K16" s="28">
        <f>386.27089371*E16*F16</f>
        <v>77.254178742000008</v>
      </c>
      <c r="L16" s="28">
        <f>233.7777*E16*F16</f>
        <v>46.755540000000003</v>
      </c>
      <c r="M16" s="28">
        <f t="shared" si="4"/>
        <v>622.42377514200007</v>
      </c>
      <c r="N16" s="22">
        <f t="shared" si="2"/>
        <v>4.4829000543199569E-2</v>
      </c>
    </row>
    <row r="17" spans="2:14" x14ac:dyDescent="0.2">
      <c r="B17" s="20">
        <v>23</v>
      </c>
      <c r="C17" s="18" t="s">
        <v>231</v>
      </c>
      <c r="D17" s="18" t="s">
        <v>232</v>
      </c>
      <c r="E17" s="17">
        <v>0.05</v>
      </c>
      <c r="F17" s="17">
        <v>1</v>
      </c>
      <c r="G17" s="28">
        <f>575.8025*E17*F17</f>
        <v>28.790125000000003</v>
      </c>
      <c r="H17" s="28">
        <f>355.18944*E17*F17</f>
        <v>17.759471999999999</v>
      </c>
      <c r="I17" s="28">
        <f t="shared" si="5"/>
        <v>0</v>
      </c>
      <c r="J17" s="28">
        <f>651.80843*E17*F17</f>
        <v>32.590421500000005</v>
      </c>
      <c r="K17" s="28">
        <f>245.33405735*E17*F17</f>
        <v>12.266702867500001</v>
      </c>
      <c r="L17" s="28">
        <f>115.1605*E17*F17</f>
        <v>5.7580249999999999</v>
      </c>
      <c r="M17" s="28">
        <f t="shared" si="4"/>
        <v>97.164746367500015</v>
      </c>
      <c r="N17" s="22">
        <f t="shared" si="2"/>
        <v>6.9981235319855391E-3</v>
      </c>
    </row>
    <row r="18" spans="2:14" x14ac:dyDescent="0.2">
      <c r="B18" s="20">
        <v>24</v>
      </c>
      <c r="C18" s="18" t="s">
        <v>233</v>
      </c>
      <c r="D18" s="18" t="s">
        <v>232</v>
      </c>
      <c r="E18" s="17">
        <v>0.02</v>
      </c>
      <c r="F18" s="17">
        <v>1</v>
      </c>
      <c r="G18" s="28">
        <f>230.321*E18*F18</f>
        <v>4.60642</v>
      </c>
      <c r="H18" s="28">
        <f t="shared" ref="H18" si="6">0*E18*F18</f>
        <v>0</v>
      </c>
      <c r="I18" s="28">
        <f t="shared" si="5"/>
        <v>0</v>
      </c>
      <c r="J18" s="28">
        <f>260.723372*E18*F18</f>
        <v>5.21446744</v>
      </c>
      <c r="K18" s="28">
        <f>76.11187766*E18*F18</f>
        <v>1.5222375532000001</v>
      </c>
      <c r="L18" s="28">
        <f>46.0642*E18*F18</f>
        <v>0.92128399999999999</v>
      </c>
      <c r="M18" s="28">
        <f t="shared" si="4"/>
        <v>12.2644089932</v>
      </c>
      <c r="N18" s="22">
        <f t="shared" si="2"/>
        <v>8.8332293748379477E-4</v>
      </c>
    </row>
    <row r="19" spans="2:14" ht="36" x14ac:dyDescent="0.2">
      <c r="B19" s="20">
        <v>41</v>
      </c>
      <c r="C19" s="18" t="s">
        <v>222</v>
      </c>
      <c r="D19" s="18" t="s">
        <v>30</v>
      </c>
      <c r="E19" s="17">
        <v>0.82</v>
      </c>
      <c r="F19" s="17">
        <v>1</v>
      </c>
      <c r="G19" s="28">
        <f>519.506*E19*F19</f>
        <v>425.99491999999998</v>
      </c>
      <c r="H19" s="28">
        <f t="shared" si="3"/>
        <v>0</v>
      </c>
      <c r="I19" s="28">
        <f t="shared" si="5"/>
        <v>0</v>
      </c>
      <c r="J19" s="28">
        <f>588.080792*E19*F19</f>
        <v>482.22624943999995</v>
      </c>
      <c r="K19" s="28">
        <f>171.67595276*E19*F19</f>
        <v>140.77428126319998</v>
      </c>
      <c r="L19" s="28">
        <f>103.9012*E19*F19</f>
        <v>85.198983999999996</v>
      </c>
      <c r="M19" s="28">
        <f t="shared" si="4"/>
        <v>1134.1944347031999</v>
      </c>
      <c r="N19" s="22">
        <f t="shared" si="2"/>
        <v>8.1688400989830309E-2</v>
      </c>
    </row>
    <row r="20" spans="2:14" x14ac:dyDescent="0.2">
      <c r="B20" s="20">
        <v>42</v>
      </c>
      <c r="C20" s="18" t="s">
        <v>31</v>
      </c>
      <c r="D20" s="18" t="s">
        <v>32</v>
      </c>
      <c r="E20" s="17">
        <v>1</v>
      </c>
      <c r="F20" s="17">
        <v>1</v>
      </c>
      <c r="G20" s="28">
        <f>460.642*E20*F20</f>
        <v>460.642</v>
      </c>
      <c r="H20" s="28">
        <f t="shared" si="3"/>
        <v>0</v>
      </c>
      <c r="I20" s="28">
        <f t="shared" si="5"/>
        <v>0</v>
      </c>
      <c r="J20" s="28">
        <f>521.446744*E20*F20</f>
        <v>521.44674399999997</v>
      </c>
      <c r="K20" s="28">
        <f>152.22375532*E20*F20</f>
        <v>152.22375532000001</v>
      </c>
      <c r="L20" s="28">
        <f>92.1284*E20*F20</f>
        <v>92.128399999999999</v>
      </c>
      <c r="M20" s="28">
        <f t="shared" si="4"/>
        <v>1226.44089932</v>
      </c>
      <c r="N20" s="22">
        <f t="shared" si="2"/>
        <v>8.8332293748379476E-2</v>
      </c>
    </row>
    <row r="21" spans="2:14" x14ac:dyDescent="0.2">
      <c r="B21" s="20">
        <v>43</v>
      </c>
      <c r="C21" s="18" t="s">
        <v>33</v>
      </c>
      <c r="D21" s="18" t="s">
        <v>14</v>
      </c>
      <c r="E21" s="17">
        <v>12.35</v>
      </c>
      <c r="F21" s="17">
        <v>1</v>
      </c>
      <c r="G21" s="28">
        <f>483.2399*E21*F21</f>
        <v>5968.0127649999995</v>
      </c>
      <c r="H21" s="28">
        <f t="shared" si="3"/>
        <v>0</v>
      </c>
      <c r="I21" s="28">
        <f t="shared" si="5"/>
        <v>0</v>
      </c>
      <c r="J21" s="28">
        <f>547.0275668*E21*F21</f>
        <v>6755.7904499800006</v>
      </c>
      <c r="K21" s="28">
        <f>159.691457354*E21*F21</f>
        <v>1972.1894983218999</v>
      </c>
      <c r="L21" s="28">
        <f>96.64798*E21*F21</f>
        <v>1193.6025529999999</v>
      </c>
      <c r="M21" s="28">
        <f t="shared" si="4"/>
        <v>15889.595266301902</v>
      </c>
      <c r="N21" s="22">
        <f t="shared" si="2"/>
        <v>1.1444207359555978</v>
      </c>
    </row>
    <row r="22" spans="2:14" x14ac:dyDescent="0.2">
      <c r="B22" s="20">
        <v>44</v>
      </c>
      <c r="C22" s="18" t="s">
        <v>34</v>
      </c>
      <c r="D22" s="18" t="s">
        <v>14</v>
      </c>
      <c r="E22" s="17">
        <v>12.35</v>
      </c>
      <c r="F22" s="17">
        <v>1</v>
      </c>
      <c r="G22" s="28">
        <f>453.95263186897*E22*F22</f>
        <v>5606.3150035817789</v>
      </c>
      <c r="H22" s="28">
        <f t="shared" si="3"/>
        <v>0</v>
      </c>
      <c r="I22" s="28">
        <f t="shared" si="5"/>
        <v>0</v>
      </c>
      <c r="J22" s="28">
        <f>513.87437927567*E22*F22</f>
        <v>6346.3485840545245</v>
      </c>
      <c r="K22" s="28">
        <f>150.01318672742*E22*F22</f>
        <v>1852.6628560836368</v>
      </c>
      <c r="L22" s="28">
        <f>90.790526373794*E22*F22</f>
        <v>1121.2630007163557</v>
      </c>
      <c r="M22" s="28">
        <f t="shared" si="4"/>
        <v>14926.589444436295</v>
      </c>
      <c r="N22" s="22">
        <f t="shared" si="2"/>
        <v>1.0750619000054951</v>
      </c>
    </row>
    <row r="23" spans="2:14" x14ac:dyDescent="0.2">
      <c r="B23" s="20">
        <v>45</v>
      </c>
      <c r="C23" s="18" t="s">
        <v>35</v>
      </c>
      <c r="D23" s="18" t="s">
        <v>14</v>
      </c>
      <c r="E23" s="17">
        <v>12.35</v>
      </c>
      <c r="F23" s="17">
        <v>1</v>
      </c>
      <c r="G23" s="28">
        <f>190.36723186897*E23*F23</f>
        <v>2351.0353135817795</v>
      </c>
      <c r="H23" s="28">
        <f t="shared" si="3"/>
        <v>0</v>
      </c>
      <c r="I23" s="28">
        <f t="shared" si="5"/>
        <v>0</v>
      </c>
      <c r="J23" s="28">
        <f>215.49570647567*E23*F23</f>
        <v>2661.3719749745246</v>
      </c>
      <c r="K23" s="28">
        <f>62.90875544342*E23*F23</f>
        <v>776.92312972623699</v>
      </c>
      <c r="L23" s="28">
        <f>38.073446373794*E23*F23</f>
        <v>470.20706271635589</v>
      </c>
      <c r="M23" s="28">
        <f t="shared" si="4"/>
        <v>6259.5374809988962</v>
      </c>
      <c r="N23" s="22">
        <f t="shared" si="2"/>
        <v>0.45083240766607824</v>
      </c>
    </row>
    <row r="24" spans="2:14" ht="24" x14ac:dyDescent="0.2">
      <c r="B24" s="20">
        <v>46</v>
      </c>
      <c r="C24" s="18" t="s">
        <v>36</v>
      </c>
      <c r="D24" s="18" t="s">
        <v>14</v>
      </c>
      <c r="E24" s="17">
        <v>2.4</v>
      </c>
      <c r="F24" s="17">
        <v>1</v>
      </c>
      <c r="G24" s="28">
        <f>17.57236*E24*F24</f>
        <v>42.173663999999995</v>
      </c>
      <c r="H24" s="28">
        <f t="shared" si="3"/>
        <v>0</v>
      </c>
      <c r="I24" s="28">
        <f t="shared" si="5"/>
        <v>0</v>
      </c>
      <c r="J24" s="28">
        <f>19.89191152*E24*F24</f>
        <v>47.740587648000002</v>
      </c>
      <c r="K24" s="28">
        <f>5.8069620856*E24*F24</f>
        <v>13.936709005440001</v>
      </c>
      <c r="L24" s="28">
        <f>3.514472*E24*F24</f>
        <v>8.434732799999999</v>
      </c>
      <c r="M24" s="28">
        <f t="shared" si="4"/>
        <v>112.28569345344002</v>
      </c>
      <c r="N24" s="22">
        <f t="shared" si="2"/>
        <v>8.0871837064215978E-3</v>
      </c>
    </row>
    <row r="25" spans="2:14" ht="24" x14ac:dyDescent="0.2">
      <c r="B25" s="20">
        <v>48</v>
      </c>
      <c r="C25" s="18" t="s">
        <v>37</v>
      </c>
      <c r="D25" s="18" t="s">
        <v>38</v>
      </c>
      <c r="E25" s="17">
        <v>38</v>
      </c>
      <c r="F25" s="17">
        <v>1</v>
      </c>
      <c r="G25" s="28">
        <f>106.591095*E25*F25</f>
        <v>4050.4616099999998</v>
      </c>
      <c r="H25" s="28">
        <f>9.8648*E25*F25</f>
        <v>374.86240000000004</v>
      </c>
      <c r="I25" s="28">
        <f t="shared" si="5"/>
        <v>0</v>
      </c>
      <c r="J25" s="28">
        <f>120.66111954*E25*F25</f>
        <v>4585.12254252</v>
      </c>
      <c r="K25" s="28">
        <f>36.7531372537*E25*F25</f>
        <v>1396.6192156405998</v>
      </c>
      <c r="L25" s="28">
        <f>21.318219*E25*F25</f>
        <v>810.09232199999997</v>
      </c>
      <c r="M25" s="28">
        <f t="shared" si="4"/>
        <v>11217.158090160599</v>
      </c>
      <c r="N25" s="22">
        <f t="shared" si="2"/>
        <v>0.80789649463863034</v>
      </c>
    </row>
    <row r="26" spans="2:14" ht="24" x14ac:dyDescent="0.2">
      <c r="B26" s="20">
        <v>49</v>
      </c>
      <c r="C26" s="18" t="s">
        <v>39</v>
      </c>
      <c r="D26" s="18" t="s">
        <v>40</v>
      </c>
      <c r="E26" s="17">
        <v>0.16</v>
      </c>
      <c r="F26" s="17">
        <v>1</v>
      </c>
      <c r="G26" s="28">
        <f>6448.988*E26*F26</f>
        <v>1031.83808</v>
      </c>
      <c r="H26" s="28">
        <f>0*E26*F26</f>
        <v>0</v>
      </c>
      <c r="I26" s="28">
        <f t="shared" si="5"/>
        <v>0</v>
      </c>
      <c r="J26" s="28">
        <f>7300.254416*E26*F26</f>
        <v>1168.04070656</v>
      </c>
      <c r="K26" s="28">
        <f>2131.13257448*E26*F26</f>
        <v>340.98121191680002</v>
      </c>
      <c r="L26" s="28">
        <f>1289.7976*E26*F26</f>
        <v>206.36761600000003</v>
      </c>
      <c r="M26" s="28">
        <f t="shared" si="4"/>
        <v>2747.2276144767998</v>
      </c>
      <c r="N26" s="22">
        <f t="shared" si="2"/>
        <v>0.19786433799637002</v>
      </c>
    </row>
    <row r="27" spans="2:14" ht="24" x14ac:dyDescent="0.2">
      <c r="B27" s="20">
        <v>52</v>
      </c>
      <c r="C27" s="18" t="s">
        <v>41</v>
      </c>
      <c r="D27" s="18" t="s">
        <v>42</v>
      </c>
      <c r="E27" s="17">
        <v>2</v>
      </c>
      <c r="F27" s="17">
        <v>4</v>
      </c>
      <c r="G27" s="28">
        <f>12.98765*E27*F27</f>
        <v>103.9012</v>
      </c>
      <c r="H27" s="28">
        <f t="shared" ref="H27:H31" si="7">0*E27*F27</f>
        <v>0</v>
      </c>
      <c r="I27" s="28">
        <f t="shared" si="5"/>
        <v>0</v>
      </c>
      <c r="J27" s="28">
        <f>14.7020198*E27*F27</f>
        <v>117.6161584</v>
      </c>
      <c r="K27" s="28">
        <f>4.291898819*E27*F27</f>
        <v>34.335190552</v>
      </c>
      <c r="L27" s="28">
        <f>2.59753*E27*F27</f>
        <v>20.780239999999999</v>
      </c>
      <c r="M27" s="28">
        <f t="shared" si="4"/>
        <v>276.632788952</v>
      </c>
      <c r="N27" s="22">
        <f t="shared" si="2"/>
        <v>1.9924000241422029E-2</v>
      </c>
    </row>
    <row r="28" spans="2:14" x14ac:dyDescent="0.2">
      <c r="B28" s="20">
        <v>53</v>
      </c>
      <c r="C28" s="18" t="s">
        <v>43</v>
      </c>
      <c r="D28" s="18" t="s">
        <v>42</v>
      </c>
      <c r="E28" s="17">
        <v>2</v>
      </c>
      <c r="F28" s="17">
        <v>4</v>
      </c>
      <c r="G28" s="28">
        <f>11.51605*E28*F28</f>
        <v>92.128399999999999</v>
      </c>
      <c r="H28" s="28">
        <f t="shared" si="7"/>
        <v>0</v>
      </c>
      <c r="I28" s="28">
        <f t="shared" si="5"/>
        <v>0</v>
      </c>
      <c r="J28" s="28">
        <f>13.0361686*E28*F28</f>
        <v>104.2893488</v>
      </c>
      <c r="K28" s="28">
        <f>3.805593883*E28*F28</f>
        <v>30.444751063999998</v>
      </c>
      <c r="L28" s="28">
        <f>2.30321*E28*F28</f>
        <v>18.42568</v>
      </c>
      <c r="M28" s="28">
        <f t="shared" si="4"/>
        <v>245.288179864</v>
      </c>
      <c r="N28" s="22">
        <f t="shared" si="2"/>
        <v>1.7666458749675897E-2</v>
      </c>
    </row>
    <row r="29" spans="2:14" x14ac:dyDescent="0.2">
      <c r="B29" s="20"/>
      <c r="C29" s="18"/>
      <c r="D29" s="18"/>
      <c r="E29" s="29"/>
      <c r="F29" s="29"/>
      <c r="G29" s="28"/>
      <c r="H29" s="28"/>
      <c r="I29" s="28"/>
      <c r="J29" s="28"/>
      <c r="K29" s="28"/>
      <c r="L29" s="28"/>
      <c r="M29" s="28"/>
      <c r="N29" s="22"/>
    </row>
    <row r="30" spans="2:14" x14ac:dyDescent="0.2">
      <c r="B30" s="20">
        <v>40</v>
      </c>
      <c r="C30" s="37" t="s">
        <v>225</v>
      </c>
      <c r="D30" s="37"/>
      <c r="E30" s="37"/>
      <c r="F30" s="37"/>
      <c r="G30" s="37"/>
      <c r="H30" s="37"/>
      <c r="I30" s="37"/>
      <c r="J30" s="37"/>
      <c r="K30" s="37"/>
      <c r="L30" s="37"/>
      <c r="M30" s="30">
        <f>N30*4*3471.1</f>
        <v>3193.4120000000003</v>
      </c>
      <c r="N30" s="22">
        <v>0.23</v>
      </c>
    </row>
    <row r="31" spans="2:14" ht="60" x14ac:dyDescent="0.2">
      <c r="B31" s="20">
        <v>59</v>
      </c>
      <c r="C31" s="18" t="s">
        <v>44</v>
      </c>
      <c r="D31" s="18" t="s">
        <v>45</v>
      </c>
      <c r="E31" s="17">
        <v>2.1389999999999998</v>
      </c>
      <c r="F31" s="17">
        <v>2</v>
      </c>
      <c r="G31" s="28">
        <f>1325.06946*E31*F31</f>
        <v>5668.6471498799992</v>
      </c>
      <c r="H31" s="28">
        <f t="shared" si="7"/>
        <v>0</v>
      </c>
      <c r="I31" s="28">
        <f t="shared" si="5"/>
        <v>0</v>
      </c>
      <c r="J31" s="28">
        <f>1499.97862872*E31*F31</f>
        <v>6416.9085736641591</v>
      </c>
      <c r="K31" s="28">
        <f>437.8824537516*E31*F31</f>
        <v>1873.2611371493447</v>
      </c>
      <c r="L31" s="28">
        <f>265.013892*E31*F31</f>
        <v>1133.7294299759999</v>
      </c>
      <c r="M31" s="28">
        <f t="shared" si="4"/>
        <v>15092.546290669503</v>
      </c>
      <c r="N31" s="22">
        <f t="shared" si="2"/>
        <v>1.0870146560650444</v>
      </c>
    </row>
    <row r="32" spans="2:14" ht="24" x14ac:dyDescent="0.2">
      <c r="B32" s="20">
        <v>63</v>
      </c>
      <c r="C32" s="18" t="s">
        <v>46</v>
      </c>
      <c r="D32" s="18" t="s">
        <v>47</v>
      </c>
      <c r="E32" s="17">
        <v>0.62</v>
      </c>
      <c r="F32" s="17">
        <v>56</v>
      </c>
      <c r="G32" s="28">
        <f>129.10443*E32*F32</f>
        <v>4482.5058096000002</v>
      </c>
      <c r="H32" s="28">
        <f>3.176088*E32*F32</f>
        <v>110.27377536</v>
      </c>
      <c r="I32" s="28">
        <f t="shared" si="5"/>
        <v>0</v>
      </c>
      <c r="J32" s="28">
        <f>146.14621476*E32*F32</f>
        <v>5074.1965764671995</v>
      </c>
      <c r="K32" s="28">
        <f>43.1561435778*E32*F32</f>
        <v>1498.3813050212161</v>
      </c>
      <c r="L32" s="28">
        <f>25.820886*E32*F32</f>
        <v>896.50116191999996</v>
      </c>
      <c r="M32" s="28">
        <f t="shared" si="4"/>
        <v>12061.858628368414</v>
      </c>
      <c r="N32" s="22">
        <f t="shared" si="2"/>
        <v>0.86873459626403837</v>
      </c>
    </row>
    <row r="33" spans="2:15" x14ac:dyDescent="0.2">
      <c r="B33" s="20">
        <v>64</v>
      </c>
      <c r="C33" s="18" t="s">
        <v>48</v>
      </c>
      <c r="D33" s="18" t="s">
        <v>49</v>
      </c>
      <c r="E33" s="17">
        <v>2.1000000000000001E-2</v>
      </c>
      <c r="F33" s="17">
        <v>6</v>
      </c>
      <c r="G33" s="28">
        <f>12457.12143*E33*F33</f>
        <v>1569.5973001799998</v>
      </c>
      <c r="H33" s="28">
        <f>81.5616*E33*F33</f>
        <v>10.2767616</v>
      </c>
      <c r="I33" s="28">
        <f t="shared" si="5"/>
        <v>0</v>
      </c>
      <c r="J33" s="28">
        <f>14101.46145876*E33*F33</f>
        <v>1776.7841438037603</v>
      </c>
      <c r="K33" s="28">
        <f>4129.2223957578*E33*F33</f>
        <v>520.28202186548276</v>
      </c>
      <c r="L33" s="28">
        <f>2491.424286*E33*F33</f>
        <v>313.91946003600003</v>
      </c>
      <c r="M33" s="28">
        <f t="shared" si="4"/>
        <v>4190.8596874852428</v>
      </c>
      <c r="N33" s="22">
        <f t="shared" si="2"/>
        <v>0.30183945200982709</v>
      </c>
    </row>
    <row r="34" spans="2:15" x14ac:dyDescent="0.2">
      <c r="B34" s="20">
        <v>65</v>
      </c>
      <c r="C34" s="18" t="s">
        <v>50</v>
      </c>
      <c r="D34" s="18" t="s">
        <v>51</v>
      </c>
      <c r="E34" s="17">
        <v>12.2</v>
      </c>
      <c r="F34" s="17">
        <v>0</v>
      </c>
      <c r="G34" s="28">
        <f>112.85729*E34*F34</f>
        <v>0</v>
      </c>
      <c r="H34" s="28">
        <f>69.49261664*E34*F34</f>
        <v>0</v>
      </c>
      <c r="I34" s="28">
        <f>44.022375*E34*F34</f>
        <v>0</v>
      </c>
      <c r="J34" s="28">
        <f>127.75445228*E34*F34</f>
        <v>0</v>
      </c>
      <c r="K34" s="28">
        <f>54.8896437576*E34*F34</f>
        <v>0</v>
      </c>
      <c r="L34" s="28">
        <f>22.571458*E34*F34</f>
        <v>0</v>
      </c>
      <c r="M34" s="28">
        <f t="shared" ref="M34:M48" si="8">SUM(G34:L34)</f>
        <v>0</v>
      </c>
      <c r="N34" s="22">
        <f t="shared" si="2"/>
        <v>0</v>
      </c>
    </row>
    <row r="35" spans="2:15" x14ac:dyDescent="0.2">
      <c r="B35" s="20">
        <v>66</v>
      </c>
      <c r="C35" s="18" t="s">
        <v>52</v>
      </c>
      <c r="D35" s="18" t="s">
        <v>53</v>
      </c>
      <c r="E35" s="17">
        <v>0.01</v>
      </c>
      <c r="F35" s="17">
        <v>120</v>
      </c>
      <c r="G35" s="28">
        <f>771.71445*E35*F35</f>
        <v>926.05734000000007</v>
      </c>
      <c r="H35" s="28">
        <f>5.0976*E35*F35</f>
        <v>6.1171199999999999</v>
      </c>
      <c r="I35" s="28">
        <f t="shared" ref="I35:I44" si="9">0*E35*F35</f>
        <v>0</v>
      </c>
      <c r="J35" s="28">
        <f>873.5807574*E35*F35</f>
        <v>1048.29690888</v>
      </c>
      <c r="K35" s="28">
        <f>255.810885147*E35*F35</f>
        <v>306.97306217639999</v>
      </c>
      <c r="L35" s="28">
        <f>154.34289*E35*F35</f>
        <v>185.21146800000002</v>
      </c>
      <c r="M35" s="28">
        <f t="shared" si="8"/>
        <v>2472.6558990564004</v>
      </c>
      <c r="N35" s="22">
        <f t="shared" si="2"/>
        <v>0.17808878302673506</v>
      </c>
    </row>
    <row r="36" spans="2:15" ht="36" x14ac:dyDescent="0.2">
      <c r="B36" s="20">
        <v>67</v>
      </c>
      <c r="C36" s="18" t="s">
        <v>54</v>
      </c>
      <c r="D36" s="18" t="s">
        <v>55</v>
      </c>
      <c r="E36" s="17">
        <v>0.04</v>
      </c>
      <c r="F36" s="17">
        <v>40</v>
      </c>
      <c r="G36" s="28">
        <f>2264.66643*E36*F36</f>
        <v>3623.4662880000001</v>
      </c>
      <c r="H36" s="28">
        <f>66.604982*E36*F36</f>
        <v>106.56797120000002</v>
      </c>
      <c r="I36" s="28">
        <f t="shared" si="9"/>
        <v>0</v>
      </c>
      <c r="J36" s="28">
        <f>2563.60239876*E36*F36</f>
        <v>4101.7638380160006</v>
      </c>
      <c r="K36" s="28">
        <f>758.7054406678*E36*F36</f>
        <v>1213.92870506848</v>
      </c>
      <c r="L36" s="28">
        <f>452.933286*E36*F36</f>
        <v>724.69325760000004</v>
      </c>
      <c r="M36" s="28">
        <f t="shared" si="8"/>
        <v>9770.42005988448</v>
      </c>
      <c r="N36" s="22">
        <f t="shared" si="2"/>
        <v>0.70369767940166517</v>
      </c>
    </row>
    <row r="37" spans="2:15" x14ac:dyDescent="0.2">
      <c r="B37" s="20">
        <v>50</v>
      </c>
      <c r="C37" s="18" t="s">
        <v>234</v>
      </c>
      <c r="D37" s="18" t="s">
        <v>235</v>
      </c>
      <c r="E37" s="17">
        <v>1</v>
      </c>
      <c r="F37" s="17">
        <v>1</v>
      </c>
      <c r="G37" s="19">
        <f>102.7776225*E37*F37</f>
        <v>102.77762250000001</v>
      </c>
      <c r="H37" s="19">
        <f>0*E37*F37</f>
        <v>0</v>
      </c>
      <c r="I37" s="19">
        <f t="shared" si="9"/>
        <v>0</v>
      </c>
      <c r="J37" s="19">
        <f>116.34426867*E37*F37</f>
        <v>116.34426867000001</v>
      </c>
      <c r="K37" s="19">
        <f>33.96389313135*E37*F37</f>
        <v>33.963893131349998</v>
      </c>
      <c r="L37" s="19">
        <f>20.5555245*E37*F37</f>
        <v>20.555524500000001</v>
      </c>
      <c r="M37" s="19">
        <f t="shared" si="8"/>
        <v>273.64130880135002</v>
      </c>
      <c r="N37" s="22">
        <f t="shared" si="2"/>
        <v>1.9708544035129356E-2</v>
      </c>
    </row>
    <row r="38" spans="2:15" x14ac:dyDescent="0.2">
      <c r="B38" s="20">
        <v>51</v>
      </c>
      <c r="C38" s="18" t="s">
        <v>236</v>
      </c>
      <c r="D38" s="18" t="s">
        <v>237</v>
      </c>
      <c r="E38" s="17">
        <v>1</v>
      </c>
      <c r="F38" s="17">
        <v>7</v>
      </c>
      <c r="G38" s="19">
        <f>26.65062*E38*F38</f>
        <v>186.55434</v>
      </c>
      <c r="H38" s="19">
        <f>698.496726*E38*F38</f>
        <v>4889.4770819999994</v>
      </c>
      <c r="I38" s="19">
        <f t="shared" si="9"/>
        <v>0</v>
      </c>
      <c r="J38" s="19">
        <f>30.16850184*E38*F38</f>
        <v>211.17951288</v>
      </c>
      <c r="K38" s="19">
        <f>117.0739564152*E38*F38</f>
        <v>819.51769490640004</v>
      </c>
      <c r="L38" s="19">
        <f>5.330124*E38*F38</f>
        <v>37.310867999999999</v>
      </c>
      <c r="M38" s="19">
        <f t="shared" si="8"/>
        <v>6144.0394977863989</v>
      </c>
      <c r="N38" s="22">
        <f t="shared" si="2"/>
        <v>0.44251386432156947</v>
      </c>
    </row>
    <row r="39" spans="2:15" x14ac:dyDescent="0.2">
      <c r="B39" s="20">
        <v>69</v>
      </c>
      <c r="C39" s="18" t="s">
        <v>56</v>
      </c>
      <c r="D39" s="18" t="s">
        <v>57</v>
      </c>
      <c r="E39" s="17">
        <v>8.4</v>
      </c>
      <c r="F39" s="17">
        <v>1</v>
      </c>
      <c r="G39" s="28">
        <f>116.4852*E39*F39</f>
        <v>978.47568000000012</v>
      </c>
      <c r="H39" s="28">
        <f>0*E39*F39</f>
        <v>0</v>
      </c>
      <c r="I39" s="28">
        <f t="shared" si="9"/>
        <v>0</v>
      </c>
      <c r="J39" s="28">
        <f>131.8612464*E39*F39</f>
        <v>1107.63446976</v>
      </c>
      <c r="K39" s="28">
        <f>38.493699192*E39*F39</f>
        <v>323.34707321280001</v>
      </c>
      <c r="L39" s="28">
        <f>23.29704*E39*F39</f>
        <v>195.69513599999999</v>
      </c>
      <c r="M39" s="28">
        <f t="shared" si="8"/>
        <v>2605.1523589727999</v>
      </c>
      <c r="N39" s="22">
        <f t="shared" si="2"/>
        <v>0.18763161238316384</v>
      </c>
    </row>
    <row r="40" spans="2:15" ht="24" x14ac:dyDescent="0.2">
      <c r="B40" s="20">
        <v>70</v>
      </c>
      <c r="C40" s="18" t="s">
        <v>58</v>
      </c>
      <c r="D40" s="18" t="s">
        <v>59</v>
      </c>
      <c r="E40" s="17">
        <v>0.04</v>
      </c>
      <c r="F40" s="17">
        <v>56</v>
      </c>
      <c r="G40" s="28">
        <f>133.95798*E40*F40</f>
        <v>300.06587519999999</v>
      </c>
      <c r="H40" s="28">
        <f>0.66468574*E40*F40</f>
        <v>1.4888960576000001</v>
      </c>
      <c r="I40" s="28">
        <f t="shared" si="9"/>
        <v>0</v>
      </c>
      <c r="J40" s="28">
        <f>151.64043336*E40*F40</f>
        <v>339.67457072640002</v>
      </c>
      <c r="K40" s="28">
        <f>44.3707803605*E40*F40</f>
        <v>99.390548007519996</v>
      </c>
      <c r="L40" s="28">
        <f>26.791596*E40*F40</f>
        <v>60.01317504</v>
      </c>
      <c r="M40" s="28">
        <f t="shared" si="8"/>
        <v>800.63306503152</v>
      </c>
      <c r="N40" s="22">
        <f t="shared" si="2"/>
        <v>5.7664217757448649E-2</v>
      </c>
    </row>
    <row r="41" spans="2:15" ht="24" x14ac:dyDescent="0.2">
      <c r="B41" s="20">
        <v>71</v>
      </c>
      <c r="C41" s="18" t="s">
        <v>60</v>
      </c>
      <c r="D41" s="18" t="s">
        <v>59</v>
      </c>
      <c r="E41" s="17">
        <v>0.04</v>
      </c>
      <c r="F41" s="17">
        <v>56</v>
      </c>
      <c r="G41" s="28">
        <f>24.753105*E41*F41</f>
        <v>55.446955200000005</v>
      </c>
      <c r="H41" s="28">
        <f>0.3176088*E41*F41</f>
        <v>0.71144371200000012</v>
      </c>
      <c r="I41" s="28">
        <f t="shared" si="9"/>
        <v>0</v>
      </c>
      <c r="J41" s="28">
        <f>28.02051486*E41*F41</f>
        <v>62.765953286400006</v>
      </c>
      <c r="K41" s="28">
        <f>8.2291404423*E41*F41</f>
        <v>18.433274590752003</v>
      </c>
      <c r="L41" s="28">
        <f>4.950621*E41*F41</f>
        <v>11.089391040000001</v>
      </c>
      <c r="M41" s="28">
        <f t="shared" si="8"/>
        <v>148.44701782915203</v>
      </c>
      <c r="N41" s="22">
        <f t="shared" si="2"/>
        <v>1.0691640822012622E-2</v>
      </c>
      <c r="O41" s="23">
        <f>SUM(N32:N41)</f>
        <v>2.7705703900215894</v>
      </c>
    </row>
    <row r="42" spans="2:15" x14ac:dyDescent="0.2">
      <c r="B42" s="20"/>
      <c r="C42" s="18"/>
      <c r="D42" s="18"/>
      <c r="E42" s="29"/>
      <c r="F42" s="29"/>
      <c r="G42" s="28"/>
      <c r="H42" s="28"/>
      <c r="I42" s="28"/>
      <c r="J42" s="28"/>
      <c r="K42" s="28"/>
      <c r="L42" s="28"/>
      <c r="M42" s="28"/>
      <c r="N42" s="22"/>
      <c r="O42" s="23"/>
    </row>
    <row r="43" spans="2:15" x14ac:dyDescent="0.2">
      <c r="B43" s="20">
        <v>73</v>
      </c>
      <c r="C43" s="18" t="s">
        <v>61</v>
      </c>
      <c r="D43" s="18" t="s">
        <v>59</v>
      </c>
      <c r="E43" s="17">
        <v>0.08</v>
      </c>
      <c r="F43" s="17">
        <v>15</v>
      </c>
      <c r="G43" s="28">
        <f>582.426*E43*F43</f>
        <v>698.91120000000012</v>
      </c>
      <c r="H43" s="28">
        <f>2.36500084*E43*F43</f>
        <v>2.8380010080000004</v>
      </c>
      <c r="I43" s="28">
        <f t="shared" si="9"/>
        <v>0</v>
      </c>
      <c r="J43" s="28">
        <f>659.306232*E43*F43</f>
        <v>791.16747840000005</v>
      </c>
      <c r="K43" s="28">
        <f>192.8350710902*E43*F43</f>
        <v>231.40208530824</v>
      </c>
      <c r="L43" s="28">
        <f>116.4852*E43*F43</f>
        <v>139.78224</v>
      </c>
      <c r="M43" s="28">
        <f t="shared" si="8"/>
        <v>1864.1010047162401</v>
      </c>
      <c r="N43" s="22">
        <f t="shared" si="2"/>
        <v>0.13425866474001327</v>
      </c>
    </row>
    <row r="44" spans="2:15" x14ac:dyDescent="0.2">
      <c r="B44" s="20">
        <v>74</v>
      </c>
      <c r="C44" s="18" t="s">
        <v>62</v>
      </c>
      <c r="D44" s="18" t="s">
        <v>63</v>
      </c>
      <c r="E44" s="17">
        <v>0.1</v>
      </c>
      <c r="F44" s="17">
        <v>2</v>
      </c>
      <c r="G44" s="28">
        <f>7571.538*E44*F44</f>
        <v>1514.3076000000001</v>
      </c>
      <c r="H44" s="28">
        <f>5798.164112*E44*F44</f>
        <v>1159.6328224000001</v>
      </c>
      <c r="I44" s="28">
        <f t="shared" si="9"/>
        <v>0</v>
      </c>
      <c r="J44" s="28">
        <f>8570.981016*E44*F44</f>
        <v>1714.1962032000001</v>
      </c>
      <c r="K44" s="28">
        <f>3400.80588484*E44*F44</f>
        <v>680.16117696800006</v>
      </c>
      <c r="L44" s="28">
        <f>1514.3076*E44*F44</f>
        <v>302.86152000000004</v>
      </c>
      <c r="M44" s="28">
        <f t="shared" si="8"/>
        <v>5371.1593225680008</v>
      </c>
      <c r="N44" s="22">
        <f t="shared" si="2"/>
        <v>0.38684850066030946</v>
      </c>
    </row>
    <row r="45" spans="2:15" ht="36" x14ac:dyDescent="0.2">
      <c r="B45" s="20">
        <v>75</v>
      </c>
      <c r="C45" s="18" t="s">
        <v>64</v>
      </c>
      <c r="D45" s="18" t="s">
        <v>63</v>
      </c>
      <c r="E45" s="17">
        <v>0.02</v>
      </c>
      <c r="F45" s="17">
        <v>118</v>
      </c>
      <c r="G45" s="28">
        <f>1500.3499225*E45*F45</f>
        <v>3540.8258171000002</v>
      </c>
      <c r="H45" s="28">
        <f>0*E45*F45</f>
        <v>0</v>
      </c>
      <c r="I45" s="28">
        <f>4043.8574682*E45*F45</f>
        <v>9543.5036249519999</v>
      </c>
      <c r="J45" s="28">
        <f>1698.39611227*E45*F45</f>
        <v>4008.2148249572006</v>
      </c>
      <c r="K45" s="28">
        <f>1122.6035429603*E45*F45</f>
        <v>2649.3443613863078</v>
      </c>
      <c r="L45" s="28">
        <f>300.0699845*E45*F45</f>
        <v>708.16516342</v>
      </c>
      <c r="M45" s="28">
        <f t="shared" si="8"/>
        <v>20450.05379181551</v>
      </c>
      <c r="N45" s="22">
        <f t="shared" si="2"/>
        <v>1.4728799077969168</v>
      </c>
    </row>
    <row r="46" spans="2:15" ht="24" x14ac:dyDescent="0.2">
      <c r="B46" s="20">
        <v>76</v>
      </c>
      <c r="C46" s="18" t="s">
        <v>65</v>
      </c>
      <c r="D46" s="18" t="s">
        <v>66</v>
      </c>
      <c r="E46" s="17">
        <v>0.02</v>
      </c>
      <c r="F46" s="17">
        <v>118</v>
      </c>
      <c r="G46" s="28">
        <f>47.20508*E46*F46</f>
        <v>111.40398880000001</v>
      </c>
      <c r="H46" s="28">
        <f>0*E46*F46</f>
        <v>0</v>
      </c>
      <c r="I46" s="28">
        <f>127.2307296*E46*F46</f>
        <v>300.26452185600004</v>
      </c>
      <c r="J46" s="28">
        <f>53.43615056*E46*F46</f>
        <v>126.10931532160002</v>
      </c>
      <c r="K46" s="28">
        <f>35.3201538248*E46*F46</f>
        <v>83.355563026528017</v>
      </c>
      <c r="L46" s="28">
        <f>9.441016*E46*F46</f>
        <v>22.280797759999999</v>
      </c>
      <c r="M46" s="28">
        <f t="shared" si="8"/>
        <v>643.41418676412809</v>
      </c>
      <c r="N46" s="22">
        <f t="shared" si="2"/>
        <v>4.6340798793187185E-2</v>
      </c>
    </row>
    <row r="47" spans="2:15" x14ac:dyDescent="0.2">
      <c r="B47" s="20">
        <v>77</v>
      </c>
      <c r="C47" s="18" t="s">
        <v>67</v>
      </c>
      <c r="D47" s="18" t="s">
        <v>68</v>
      </c>
      <c r="E47" s="17">
        <v>0.08</v>
      </c>
      <c r="F47" s="17">
        <v>4</v>
      </c>
      <c r="G47" s="28">
        <f>1521.002145*E47*F47</f>
        <v>486.72068639999998</v>
      </c>
      <c r="H47" s="28">
        <f>0*E47*F47</f>
        <v>0</v>
      </c>
      <c r="I47" s="28">
        <f>4350.3807936*E47*F47</f>
        <v>1392.121853952</v>
      </c>
      <c r="J47" s="28">
        <f>1721.77442814*E47*F47</f>
        <v>550.96781700480005</v>
      </c>
      <c r="K47" s="28">
        <f>1176.9393918447*E47*F47</f>
        <v>376.62060539030398</v>
      </c>
      <c r="L47" s="28">
        <f>304.200429*E47*F47</f>
        <v>97.344137279999998</v>
      </c>
      <c r="M47" s="28">
        <f t="shared" si="8"/>
        <v>2903.7751000271037</v>
      </c>
      <c r="N47" s="22">
        <f t="shared" si="2"/>
        <v>0.20913940105637288</v>
      </c>
    </row>
    <row r="48" spans="2:15" x14ac:dyDescent="0.2">
      <c r="B48" s="20">
        <v>78</v>
      </c>
      <c r="C48" s="18" t="s">
        <v>69</v>
      </c>
      <c r="D48" s="18" t="s">
        <v>66</v>
      </c>
      <c r="E48" s="17">
        <v>0.08</v>
      </c>
      <c r="F48" s="17">
        <v>4</v>
      </c>
      <c r="G48" s="28">
        <f>89.417315*E48*F48</f>
        <v>28.613540800000003</v>
      </c>
      <c r="H48" s="28">
        <f>0*E48*F48</f>
        <v>0</v>
      </c>
      <c r="I48" s="28">
        <f>255.7520192*E48*F48</f>
        <v>81.840646144000004</v>
      </c>
      <c r="J48" s="28">
        <f>101.22040058*E48*F48</f>
        <v>32.390528185600004</v>
      </c>
      <c r="K48" s="28">
        <f>69.1904088909*E48*F48</f>
        <v>22.140930845088</v>
      </c>
      <c r="L48" s="28">
        <f>17.883463*E48*F48</f>
        <v>5.7227081599999998</v>
      </c>
      <c r="M48" s="28">
        <f t="shared" si="8"/>
        <v>170.70835413468802</v>
      </c>
      <c r="N48" s="22">
        <f t="shared" si="2"/>
        <v>1.2294975233693068E-2</v>
      </c>
      <c r="O48" s="23">
        <f>SUM(N43:N48)</f>
        <v>2.2617622482804927</v>
      </c>
    </row>
    <row r="49" spans="2:15" x14ac:dyDescent="0.2">
      <c r="B49" s="20"/>
      <c r="C49" s="18"/>
      <c r="D49" s="18"/>
      <c r="E49" s="29"/>
      <c r="F49" s="29"/>
      <c r="G49" s="28"/>
      <c r="H49" s="28"/>
      <c r="I49" s="28"/>
      <c r="J49" s="28"/>
      <c r="K49" s="28"/>
      <c r="L49" s="28"/>
      <c r="M49" s="28"/>
      <c r="N49" s="22"/>
      <c r="O49" s="23"/>
    </row>
    <row r="50" spans="2:15" x14ac:dyDescent="0.2"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32">
        <f>SUM(M4:M48)</f>
        <v>182383.64227445435</v>
      </c>
      <c r="N50" s="31">
        <f>SUM(N4:N48)</f>
        <v>13.135867756219527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B3:N3"/>
    <mergeCell ref="C30:L30"/>
    <mergeCell ref="B1:N1"/>
  </mergeCells>
  <pageMargins left="0.35433070866141736" right="0.35433070866141736" top="0.35433070866141736" bottom="0.35433070866141736" header="0.31496062992125984" footer="0.31496062992125984"/>
  <pageSetup paperSize="9" scale="77" fitToHeight="0" orientation="portrait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9"/>
  <sheetViews>
    <sheetView topLeftCell="B1" workbookViewId="0">
      <selection activeCell="B139" sqref="B139:G139"/>
    </sheetView>
  </sheetViews>
  <sheetFormatPr defaultRowHeight="12" x14ac:dyDescent="0.2"/>
  <cols>
    <col min="1" max="1" width="0" hidden="1" customWidth="1"/>
    <col min="2" max="2" width="7" customWidth="1"/>
    <col min="3" max="3" width="60" customWidth="1"/>
    <col min="4" max="4" width="13" customWidth="1"/>
    <col min="5" max="5" width="11" customWidth="1"/>
    <col min="6" max="6" width="13" customWidth="1"/>
    <col min="7" max="7" width="15" customWidth="1"/>
  </cols>
  <sheetData>
    <row r="1" spans="1:7" ht="27.95" customHeight="1" x14ac:dyDescent="0.2">
      <c r="B1" s="45" t="s">
        <v>71</v>
      </c>
      <c r="C1" s="45"/>
      <c r="D1" s="45"/>
      <c r="E1" s="45"/>
      <c r="F1" s="45"/>
      <c r="G1" s="45"/>
    </row>
    <row r="3" spans="1:7" ht="27" x14ac:dyDescent="0.2">
      <c r="A3" s="1"/>
      <c r="B3" s="2" t="s">
        <v>0</v>
      </c>
      <c r="C3" s="2" t="s">
        <v>72</v>
      </c>
      <c r="D3" s="3" t="s">
        <v>73</v>
      </c>
      <c r="E3" s="3" t="s">
        <v>3</v>
      </c>
      <c r="F3" s="3" t="s">
        <v>74</v>
      </c>
      <c r="G3" s="4" t="s">
        <v>11</v>
      </c>
    </row>
    <row r="4" spans="1:7" ht="16.5" x14ac:dyDescent="0.2">
      <c r="B4" s="44" t="s">
        <v>75</v>
      </c>
      <c r="C4" s="44"/>
      <c r="D4" s="44"/>
      <c r="E4" s="44"/>
      <c r="F4" s="44"/>
      <c r="G4" s="44"/>
    </row>
    <row r="5" spans="1:7" x14ac:dyDescent="0.2">
      <c r="B5" s="10">
        <v>1</v>
      </c>
      <c r="C5" s="11" t="s">
        <v>76</v>
      </c>
      <c r="D5" s="11" t="s">
        <v>77</v>
      </c>
      <c r="E5" s="12">
        <v>16.8</v>
      </c>
      <c r="F5" s="13">
        <v>115.1605</v>
      </c>
      <c r="G5" s="15">
        <f t="shared" ref="G5:G40" si="0">E5*F5</f>
        <v>1934.6964</v>
      </c>
    </row>
    <row r="6" spans="1:7" x14ac:dyDescent="0.2">
      <c r="B6" s="5">
        <v>2</v>
      </c>
      <c r="C6" s="6" t="s">
        <v>78</v>
      </c>
      <c r="D6" s="6" t="s">
        <v>77</v>
      </c>
      <c r="E6" s="14">
        <v>14.663040000000001</v>
      </c>
      <c r="F6" s="7">
        <v>129.87649999999999</v>
      </c>
      <c r="G6" s="8">
        <f t="shared" si="0"/>
        <v>1904.3843145599999</v>
      </c>
    </row>
    <row r="7" spans="1:7" x14ac:dyDescent="0.2">
      <c r="B7" s="5">
        <v>3</v>
      </c>
      <c r="C7" s="6" t="s">
        <v>79</v>
      </c>
      <c r="D7" s="6" t="s">
        <v>77</v>
      </c>
      <c r="E7" s="14">
        <v>52.333260000000003</v>
      </c>
      <c r="F7" s="7">
        <v>129.87649999999999</v>
      </c>
      <c r="G7" s="8">
        <f t="shared" si="0"/>
        <v>6796.8606423900001</v>
      </c>
    </row>
    <row r="8" spans="1:7" x14ac:dyDescent="0.2">
      <c r="B8" s="5">
        <v>4</v>
      </c>
      <c r="C8" s="6" t="s">
        <v>80</v>
      </c>
      <c r="D8" s="6" t="s">
        <v>77</v>
      </c>
      <c r="E8" s="14">
        <v>52.333260000000003</v>
      </c>
      <c r="F8" s="7">
        <v>97.071000000000012</v>
      </c>
      <c r="G8" s="8">
        <f t="shared" si="0"/>
        <v>5080.0418814600007</v>
      </c>
    </row>
    <row r="9" spans="1:7" x14ac:dyDescent="0.2">
      <c r="B9" s="5">
        <v>5</v>
      </c>
      <c r="C9" s="6" t="s">
        <v>81</v>
      </c>
      <c r="D9" s="6" t="s">
        <v>77</v>
      </c>
      <c r="E9" s="14">
        <v>270.59836000000001</v>
      </c>
      <c r="F9" s="7">
        <v>97.071000000000012</v>
      </c>
      <c r="G9" s="8">
        <f t="shared" si="0"/>
        <v>26267.253403560004</v>
      </c>
    </row>
    <row r="10" spans="1:7" x14ac:dyDescent="0.2">
      <c r="B10" s="5">
        <v>6</v>
      </c>
      <c r="C10" s="6" t="s">
        <v>82</v>
      </c>
      <c r="D10" s="6" t="s">
        <v>77</v>
      </c>
      <c r="E10" s="14">
        <v>14.85</v>
      </c>
      <c r="F10" s="7">
        <v>105.3065</v>
      </c>
      <c r="G10" s="8">
        <f t="shared" si="0"/>
        <v>1563.8015249999999</v>
      </c>
    </row>
    <row r="11" spans="1:7" x14ac:dyDescent="0.2">
      <c r="B11" s="5">
        <v>7</v>
      </c>
      <c r="C11" s="6" t="s">
        <v>83</v>
      </c>
      <c r="D11" s="6" t="s">
        <v>77</v>
      </c>
      <c r="E11" s="14">
        <v>14.85</v>
      </c>
      <c r="F11" s="7">
        <v>115.1605</v>
      </c>
      <c r="G11" s="8">
        <f t="shared" si="0"/>
        <v>1710.133425</v>
      </c>
    </row>
    <row r="12" spans="1:7" x14ac:dyDescent="0.2">
      <c r="B12" s="5">
        <v>8</v>
      </c>
      <c r="C12" s="6" t="s">
        <v>84</v>
      </c>
      <c r="D12" s="6" t="s">
        <v>77</v>
      </c>
      <c r="E12" s="14">
        <v>14.7</v>
      </c>
      <c r="F12" s="7">
        <v>105.3065</v>
      </c>
      <c r="G12" s="8">
        <f t="shared" si="0"/>
        <v>1548.0055499999999</v>
      </c>
    </row>
    <row r="13" spans="1:7" x14ac:dyDescent="0.2">
      <c r="B13" s="5">
        <v>9</v>
      </c>
      <c r="C13" s="6" t="s">
        <v>85</v>
      </c>
      <c r="D13" s="6" t="s">
        <v>77</v>
      </c>
      <c r="E13" s="14">
        <v>18.936820000000001</v>
      </c>
      <c r="F13" s="7">
        <v>115.1605</v>
      </c>
      <c r="G13" s="8">
        <f t="shared" si="0"/>
        <v>2180.7736596099999</v>
      </c>
    </row>
    <row r="14" spans="1:7" x14ac:dyDescent="0.2">
      <c r="B14" s="5">
        <v>10</v>
      </c>
      <c r="C14" s="6" t="s">
        <v>86</v>
      </c>
      <c r="D14" s="6" t="s">
        <v>77</v>
      </c>
      <c r="E14" s="14">
        <v>14.7</v>
      </c>
      <c r="F14" s="7">
        <v>129.87649999999999</v>
      </c>
      <c r="G14" s="8">
        <f t="shared" si="0"/>
        <v>1909.1845499999997</v>
      </c>
    </row>
    <row r="15" spans="1:7" ht="24" x14ac:dyDescent="0.2">
      <c r="B15" s="5">
        <v>11</v>
      </c>
      <c r="C15" s="6" t="s">
        <v>87</v>
      </c>
      <c r="D15" s="6" t="s">
        <v>77</v>
      </c>
      <c r="E15" s="14">
        <v>1.95</v>
      </c>
      <c r="F15" s="7">
        <v>105.3065</v>
      </c>
      <c r="G15" s="8">
        <f t="shared" si="0"/>
        <v>205.34767499999998</v>
      </c>
    </row>
    <row r="16" spans="1:7" ht="24" x14ac:dyDescent="0.2">
      <c r="B16" s="5">
        <v>12</v>
      </c>
      <c r="C16" s="6" t="s">
        <v>88</v>
      </c>
      <c r="D16" s="6" t="s">
        <v>77</v>
      </c>
      <c r="E16" s="14">
        <v>1.95</v>
      </c>
      <c r="F16" s="7">
        <v>115.1605</v>
      </c>
      <c r="G16" s="8">
        <f t="shared" si="0"/>
        <v>224.56297499999999</v>
      </c>
    </row>
    <row r="17" spans="2:7" x14ac:dyDescent="0.2">
      <c r="B17" s="5">
        <v>13</v>
      </c>
      <c r="C17" s="6" t="s">
        <v>89</v>
      </c>
      <c r="D17" s="6" t="s">
        <v>77</v>
      </c>
      <c r="E17" s="14">
        <v>0.92196</v>
      </c>
      <c r="F17" s="7">
        <v>105.3065</v>
      </c>
      <c r="G17" s="8">
        <f t="shared" si="0"/>
        <v>97.088380740000005</v>
      </c>
    </row>
    <row r="18" spans="2:7" x14ac:dyDescent="0.2">
      <c r="B18" s="5">
        <v>14</v>
      </c>
      <c r="C18" s="6" t="s">
        <v>90</v>
      </c>
      <c r="D18" s="6" t="s">
        <v>77</v>
      </c>
      <c r="E18" s="14">
        <v>0.61463999999999996</v>
      </c>
      <c r="F18" s="7">
        <v>115.1605</v>
      </c>
      <c r="G18" s="8">
        <f t="shared" si="0"/>
        <v>70.782249719999996</v>
      </c>
    </row>
    <row r="19" spans="2:7" x14ac:dyDescent="0.2">
      <c r="B19" s="5">
        <v>15</v>
      </c>
      <c r="C19" s="6" t="s">
        <v>91</v>
      </c>
      <c r="D19" s="6" t="s">
        <v>77</v>
      </c>
      <c r="E19" s="14">
        <v>9.6</v>
      </c>
      <c r="F19" s="7">
        <v>115.1605</v>
      </c>
      <c r="G19" s="8">
        <f t="shared" si="0"/>
        <v>1105.5408</v>
      </c>
    </row>
    <row r="20" spans="2:7" x14ac:dyDescent="0.2">
      <c r="B20" s="5">
        <v>16</v>
      </c>
      <c r="C20" s="6" t="s">
        <v>92</v>
      </c>
      <c r="D20" s="6" t="s">
        <v>77</v>
      </c>
      <c r="E20" s="14">
        <v>167.94</v>
      </c>
      <c r="F20" s="7">
        <v>129.87649999999999</v>
      </c>
      <c r="G20" s="8">
        <f t="shared" si="0"/>
        <v>21811.459409999999</v>
      </c>
    </row>
    <row r="21" spans="2:7" x14ac:dyDescent="0.2">
      <c r="B21" s="5">
        <v>17</v>
      </c>
      <c r="C21" s="6" t="s">
        <v>93</v>
      </c>
      <c r="D21" s="6" t="s">
        <v>77</v>
      </c>
      <c r="E21" s="14">
        <v>26.88</v>
      </c>
      <c r="F21" s="7">
        <v>97.071000000000012</v>
      </c>
      <c r="G21" s="8">
        <f t="shared" si="0"/>
        <v>2609.2684800000002</v>
      </c>
    </row>
    <row r="22" spans="2:7" x14ac:dyDescent="0.2">
      <c r="B22" s="5">
        <v>18</v>
      </c>
      <c r="C22" s="6" t="s">
        <v>94</v>
      </c>
      <c r="D22" s="6" t="s">
        <v>77</v>
      </c>
      <c r="E22" s="14">
        <v>11.956</v>
      </c>
      <c r="F22" s="7">
        <v>115.1605</v>
      </c>
      <c r="G22" s="8">
        <f t="shared" si="0"/>
        <v>1376.8589379999999</v>
      </c>
    </row>
    <row r="23" spans="2:7" ht="24" x14ac:dyDescent="0.2">
      <c r="B23" s="5">
        <v>19</v>
      </c>
      <c r="C23" s="6" t="s">
        <v>95</v>
      </c>
      <c r="D23" s="6" t="s">
        <v>77</v>
      </c>
      <c r="E23" s="14">
        <v>271.7460001</v>
      </c>
      <c r="F23" s="7">
        <v>105.3065</v>
      </c>
      <c r="G23" s="8">
        <f t="shared" si="0"/>
        <v>28616.620159530652</v>
      </c>
    </row>
    <row r="24" spans="2:7" ht="24" x14ac:dyDescent="0.2">
      <c r="B24" s="5">
        <v>20</v>
      </c>
      <c r="C24" s="6" t="s">
        <v>96</v>
      </c>
      <c r="D24" s="6" t="s">
        <v>97</v>
      </c>
      <c r="E24" s="14">
        <v>10.144</v>
      </c>
      <c r="F24" s="7">
        <v>129.87649999999999</v>
      </c>
      <c r="G24" s="8">
        <f t="shared" si="0"/>
        <v>1317.467216</v>
      </c>
    </row>
    <row r="25" spans="2:7" ht="24" x14ac:dyDescent="0.2">
      <c r="B25" s="5">
        <v>21</v>
      </c>
      <c r="C25" s="6" t="s">
        <v>98</v>
      </c>
      <c r="D25" s="6" t="s">
        <v>77</v>
      </c>
      <c r="E25" s="14">
        <v>43.44</v>
      </c>
      <c r="F25" s="7">
        <v>115.1605</v>
      </c>
      <c r="G25" s="8">
        <f t="shared" si="0"/>
        <v>5002.5721199999998</v>
      </c>
    </row>
    <row r="26" spans="2:7" ht="24" x14ac:dyDescent="0.2">
      <c r="B26" s="5">
        <v>22</v>
      </c>
      <c r="C26" s="6" t="s">
        <v>99</v>
      </c>
      <c r="D26" s="6" t="s">
        <v>77</v>
      </c>
      <c r="E26" s="14">
        <v>9.24</v>
      </c>
      <c r="F26" s="7">
        <v>105.3065</v>
      </c>
      <c r="G26" s="8">
        <f t="shared" si="0"/>
        <v>973.03206</v>
      </c>
    </row>
    <row r="27" spans="2:7" ht="24" x14ac:dyDescent="0.2">
      <c r="B27" s="5">
        <v>23</v>
      </c>
      <c r="C27" s="6" t="s">
        <v>100</v>
      </c>
      <c r="D27" s="6" t="s">
        <v>77</v>
      </c>
      <c r="E27" s="14">
        <v>7.0352199999999998</v>
      </c>
      <c r="F27" s="7">
        <v>129.87649999999999</v>
      </c>
      <c r="G27" s="8">
        <f t="shared" si="0"/>
        <v>913.70975032999991</v>
      </c>
    </row>
    <row r="28" spans="2:7" x14ac:dyDescent="0.2">
      <c r="B28" s="5">
        <v>24</v>
      </c>
      <c r="C28" s="6" t="s">
        <v>101</v>
      </c>
      <c r="D28" s="6" t="s">
        <v>77</v>
      </c>
      <c r="E28" s="14">
        <v>57.902799999999999</v>
      </c>
      <c r="F28" s="7">
        <v>115.1605</v>
      </c>
      <c r="G28" s="8">
        <f t="shared" si="0"/>
        <v>6668.1153993999997</v>
      </c>
    </row>
    <row r="29" spans="2:7" x14ac:dyDescent="0.2">
      <c r="B29" s="5">
        <v>25</v>
      </c>
      <c r="C29" s="6" t="s">
        <v>102</v>
      </c>
      <c r="D29" s="6" t="s">
        <v>77</v>
      </c>
      <c r="E29" s="14">
        <v>11.68225</v>
      </c>
      <c r="F29" s="7">
        <v>105.3065</v>
      </c>
      <c r="G29" s="8">
        <f t="shared" si="0"/>
        <v>1230.2168596249999</v>
      </c>
    </row>
    <row r="30" spans="2:7" x14ac:dyDescent="0.2">
      <c r="B30" s="5">
        <v>26</v>
      </c>
      <c r="C30" s="6" t="s">
        <v>103</v>
      </c>
      <c r="D30" s="6" t="s">
        <v>77</v>
      </c>
      <c r="E30" s="14">
        <v>100.45381654000001</v>
      </c>
      <c r="F30" s="7">
        <v>115.1605</v>
      </c>
      <c r="G30" s="8">
        <f t="shared" si="0"/>
        <v>11568.311739654671</v>
      </c>
    </row>
    <row r="31" spans="2:7" x14ac:dyDescent="0.2">
      <c r="B31" s="5">
        <v>27</v>
      </c>
      <c r="C31" s="6" t="s">
        <v>104</v>
      </c>
      <c r="D31" s="6" t="s">
        <v>77</v>
      </c>
      <c r="E31" s="14">
        <v>53.038939999999997</v>
      </c>
      <c r="F31" s="7">
        <v>129.87649999999999</v>
      </c>
      <c r="G31" s="8">
        <f t="shared" si="0"/>
        <v>6888.5118909099992</v>
      </c>
    </row>
    <row r="32" spans="2:7" x14ac:dyDescent="0.2">
      <c r="B32" s="5">
        <v>28</v>
      </c>
      <c r="C32" s="6" t="s">
        <v>105</v>
      </c>
      <c r="D32" s="6" t="s">
        <v>77</v>
      </c>
      <c r="E32" s="14">
        <v>61.856566540000003</v>
      </c>
      <c r="F32" s="7">
        <v>149.721</v>
      </c>
      <c r="G32" s="8">
        <f t="shared" si="0"/>
        <v>9261.2269989353408</v>
      </c>
    </row>
    <row r="33" spans="2:7" x14ac:dyDescent="0.2">
      <c r="B33" s="5">
        <v>29</v>
      </c>
      <c r="C33" s="6" t="s">
        <v>106</v>
      </c>
      <c r="D33" s="6" t="s">
        <v>77</v>
      </c>
      <c r="E33" s="14">
        <v>59.123566539999999</v>
      </c>
      <c r="F33" s="7">
        <v>174.42750000000001</v>
      </c>
      <c r="G33" s="8">
        <f t="shared" si="0"/>
        <v>10312.775902655851</v>
      </c>
    </row>
    <row r="34" spans="2:7" x14ac:dyDescent="0.2">
      <c r="B34" s="5">
        <v>30</v>
      </c>
      <c r="C34" s="6" t="s">
        <v>107</v>
      </c>
      <c r="D34" s="6" t="s">
        <v>77</v>
      </c>
      <c r="E34" s="14">
        <v>0.46</v>
      </c>
      <c r="F34" s="7">
        <v>105.3065</v>
      </c>
      <c r="G34" s="8">
        <f t="shared" si="0"/>
        <v>48.440989999999999</v>
      </c>
    </row>
    <row r="35" spans="2:7" x14ac:dyDescent="0.2">
      <c r="B35" s="5">
        <v>31</v>
      </c>
      <c r="C35" s="6" t="s">
        <v>108</v>
      </c>
      <c r="D35" s="6" t="s">
        <v>77</v>
      </c>
      <c r="E35" s="14">
        <v>0.46</v>
      </c>
      <c r="F35" s="7">
        <v>115.1605</v>
      </c>
      <c r="G35" s="8">
        <f t="shared" si="0"/>
        <v>52.97383</v>
      </c>
    </row>
    <row r="36" spans="2:7" x14ac:dyDescent="0.2">
      <c r="B36" s="5">
        <v>32</v>
      </c>
      <c r="C36" s="6" t="s">
        <v>109</v>
      </c>
      <c r="D36" s="6" t="s">
        <v>77</v>
      </c>
      <c r="E36" s="14">
        <v>14.04</v>
      </c>
      <c r="F36" s="7">
        <v>115.1605</v>
      </c>
      <c r="G36" s="8">
        <f t="shared" si="0"/>
        <v>1616.8534199999999</v>
      </c>
    </row>
    <row r="37" spans="2:7" x14ac:dyDescent="0.2">
      <c r="B37" s="5">
        <v>33</v>
      </c>
      <c r="C37" s="6" t="s">
        <v>110</v>
      </c>
      <c r="D37" s="6" t="s">
        <v>77</v>
      </c>
      <c r="E37" s="14">
        <v>3.25</v>
      </c>
      <c r="F37" s="7">
        <v>129.87649999999999</v>
      </c>
      <c r="G37" s="8">
        <f t="shared" si="0"/>
        <v>422.09862499999997</v>
      </c>
    </row>
    <row r="38" spans="2:7" ht="24" x14ac:dyDescent="0.2">
      <c r="B38" s="5">
        <v>34</v>
      </c>
      <c r="C38" s="6" t="s">
        <v>111</v>
      </c>
      <c r="D38" s="6" t="s">
        <v>112</v>
      </c>
      <c r="E38" s="14">
        <v>4.23522</v>
      </c>
      <c r="F38" s="7">
        <v>149.721</v>
      </c>
      <c r="G38" s="8">
        <f t="shared" si="0"/>
        <v>634.10137362</v>
      </c>
    </row>
    <row r="39" spans="2:7" ht="24" x14ac:dyDescent="0.2">
      <c r="B39" s="5">
        <v>35</v>
      </c>
      <c r="C39" s="6" t="s">
        <v>113</v>
      </c>
      <c r="D39" s="6" t="s">
        <v>77</v>
      </c>
      <c r="E39" s="14">
        <v>11.56</v>
      </c>
      <c r="F39" s="7">
        <v>115.1605</v>
      </c>
      <c r="G39" s="8">
        <f t="shared" si="0"/>
        <v>1331.2553800000001</v>
      </c>
    </row>
    <row r="40" spans="2:7" ht="24" x14ac:dyDescent="0.2">
      <c r="B40" s="5">
        <v>36</v>
      </c>
      <c r="C40" s="6" t="s">
        <v>114</v>
      </c>
      <c r="D40" s="6" t="s">
        <v>77</v>
      </c>
      <c r="E40" s="14">
        <v>18.235220000000002</v>
      </c>
      <c r="F40" s="7">
        <v>129.87649999999999</v>
      </c>
      <c r="G40" s="8">
        <f t="shared" si="0"/>
        <v>2368.3265503299999</v>
      </c>
    </row>
    <row r="41" spans="2:7" x14ac:dyDescent="0.2">
      <c r="B41" s="41" t="s">
        <v>70</v>
      </c>
      <c r="C41" s="42"/>
      <c r="D41" s="42"/>
      <c r="E41" s="42"/>
      <c r="F41" s="43"/>
      <c r="G41" s="9">
        <f>SUM(G5:G40)</f>
        <v>167622.65452603155</v>
      </c>
    </row>
    <row r="42" spans="2:7" ht="16.5" x14ac:dyDescent="0.2">
      <c r="B42" s="44" t="s">
        <v>115</v>
      </c>
      <c r="C42" s="44"/>
      <c r="D42" s="44"/>
      <c r="E42" s="44"/>
      <c r="F42" s="44"/>
      <c r="G42" s="44"/>
    </row>
    <row r="43" spans="2:7" x14ac:dyDescent="0.2">
      <c r="B43" s="10">
        <v>37</v>
      </c>
      <c r="C43" s="11" t="s">
        <v>116</v>
      </c>
      <c r="D43" s="11" t="s">
        <v>117</v>
      </c>
      <c r="E43" s="12">
        <v>0.62</v>
      </c>
      <c r="F43" s="13">
        <v>7.8587999999999996</v>
      </c>
      <c r="G43" s="15">
        <f t="shared" ref="G43:G74" si="1">E43*F43</f>
        <v>4.8724559999999997</v>
      </c>
    </row>
    <row r="44" spans="2:7" ht="24" x14ac:dyDescent="0.2">
      <c r="B44" s="5">
        <v>38</v>
      </c>
      <c r="C44" s="6" t="s">
        <v>118</v>
      </c>
      <c r="D44" s="6" t="s">
        <v>119</v>
      </c>
      <c r="E44" s="14">
        <v>3.3</v>
      </c>
      <c r="F44" s="7">
        <v>30.196199999999997</v>
      </c>
      <c r="G44" s="8">
        <f t="shared" si="1"/>
        <v>99.647459999999981</v>
      </c>
    </row>
    <row r="45" spans="2:7" x14ac:dyDescent="0.2">
      <c r="B45" s="5">
        <v>39</v>
      </c>
      <c r="C45" s="6" t="s">
        <v>120</v>
      </c>
      <c r="D45" s="6" t="s">
        <v>121</v>
      </c>
      <c r="E45" s="14">
        <v>14.731999999999999</v>
      </c>
      <c r="F45" s="7">
        <v>400.1026</v>
      </c>
      <c r="G45" s="8">
        <f t="shared" si="1"/>
        <v>5894.3115031999996</v>
      </c>
    </row>
    <row r="46" spans="2:7" x14ac:dyDescent="0.2">
      <c r="B46" s="5">
        <v>40</v>
      </c>
      <c r="C46" s="6" t="s">
        <v>122</v>
      </c>
      <c r="D46" s="6" t="s">
        <v>123</v>
      </c>
      <c r="E46" s="14">
        <v>9.7599999999999996E-3</v>
      </c>
      <c r="F46" s="7">
        <v>52881.770799999991</v>
      </c>
      <c r="G46" s="8">
        <f t="shared" si="1"/>
        <v>516.12608300799991</v>
      </c>
    </row>
    <row r="47" spans="2:7" ht="24" x14ac:dyDescent="0.2">
      <c r="B47" s="5">
        <v>41</v>
      </c>
      <c r="C47" s="6" t="s">
        <v>124</v>
      </c>
      <c r="D47" s="6" t="s">
        <v>123</v>
      </c>
      <c r="E47" s="14">
        <v>2.6519000000000001E-2</v>
      </c>
      <c r="F47" s="7">
        <v>63721.309799999995</v>
      </c>
      <c r="G47" s="8">
        <f t="shared" si="1"/>
        <v>1689.8254145861999</v>
      </c>
    </row>
    <row r="48" spans="2:7" x14ac:dyDescent="0.2">
      <c r="B48" s="5">
        <v>42</v>
      </c>
      <c r="C48" s="6" t="s">
        <v>125</v>
      </c>
      <c r="D48" s="6" t="s">
        <v>123</v>
      </c>
      <c r="E48" s="14">
        <v>7.3999999999999999E-4</v>
      </c>
      <c r="F48" s="7">
        <v>82814.217199999985</v>
      </c>
      <c r="G48" s="8">
        <f t="shared" si="1"/>
        <v>61.282520727999987</v>
      </c>
    </row>
    <row r="49" spans="2:7" x14ac:dyDescent="0.2">
      <c r="B49" s="5">
        <v>43</v>
      </c>
      <c r="C49" s="6" t="s">
        <v>126</v>
      </c>
      <c r="D49" s="6" t="s">
        <v>119</v>
      </c>
      <c r="E49" s="14">
        <v>5</v>
      </c>
      <c r="F49" s="7">
        <v>218.08759999999998</v>
      </c>
      <c r="G49" s="8">
        <f t="shared" si="1"/>
        <v>1090.4379999999999</v>
      </c>
    </row>
    <row r="50" spans="2:7" x14ac:dyDescent="0.2">
      <c r="B50" s="5">
        <v>44</v>
      </c>
      <c r="C50" s="6" t="s">
        <v>127</v>
      </c>
      <c r="D50" s="6" t="s">
        <v>123</v>
      </c>
      <c r="E50" s="14">
        <v>0.2016</v>
      </c>
      <c r="F50" s="7">
        <v>19223.261999999999</v>
      </c>
      <c r="G50" s="8">
        <f t="shared" si="1"/>
        <v>3875.4096191999997</v>
      </c>
    </row>
    <row r="51" spans="2:7" x14ac:dyDescent="0.2">
      <c r="B51" s="5">
        <v>45</v>
      </c>
      <c r="C51" s="6" t="s">
        <v>128</v>
      </c>
      <c r="D51" s="6" t="s">
        <v>117</v>
      </c>
      <c r="E51" s="14">
        <v>0.87139999999999995</v>
      </c>
      <c r="F51" s="7">
        <v>20.567399999999999</v>
      </c>
      <c r="G51" s="8">
        <f t="shared" si="1"/>
        <v>17.922432359999998</v>
      </c>
    </row>
    <row r="52" spans="2:7" x14ac:dyDescent="0.2">
      <c r="B52" s="5">
        <v>46</v>
      </c>
      <c r="C52" s="6" t="s">
        <v>129</v>
      </c>
      <c r="D52" s="6" t="s">
        <v>121</v>
      </c>
      <c r="E52" s="14">
        <v>36.552</v>
      </c>
      <c r="F52" s="7">
        <v>19.729599999999998</v>
      </c>
      <c r="G52" s="8">
        <f t="shared" si="1"/>
        <v>721.15633919999993</v>
      </c>
    </row>
    <row r="53" spans="2:7" x14ac:dyDescent="0.2">
      <c r="B53" s="5">
        <v>47</v>
      </c>
      <c r="C53" s="6" t="s">
        <v>130</v>
      </c>
      <c r="D53" s="6" t="s">
        <v>131</v>
      </c>
      <c r="E53" s="14">
        <v>7.3200000000000001E-4</v>
      </c>
      <c r="F53" s="7">
        <v>25429.153399999999</v>
      </c>
      <c r="G53" s="8">
        <f t="shared" si="1"/>
        <v>18.614140288799998</v>
      </c>
    </row>
    <row r="54" spans="2:7" x14ac:dyDescent="0.2">
      <c r="B54" s="5">
        <v>48</v>
      </c>
      <c r="C54" s="6" t="s">
        <v>132</v>
      </c>
      <c r="D54" s="6" t="s">
        <v>119</v>
      </c>
      <c r="E54" s="14">
        <v>4</v>
      </c>
      <c r="F54" s="7">
        <v>60.286200000000001</v>
      </c>
      <c r="G54" s="8">
        <f t="shared" si="1"/>
        <v>241.1448</v>
      </c>
    </row>
    <row r="55" spans="2:7" x14ac:dyDescent="0.2">
      <c r="B55" s="5">
        <v>49</v>
      </c>
      <c r="C55" s="6" t="s">
        <v>133</v>
      </c>
      <c r="D55" s="6" t="s">
        <v>123</v>
      </c>
      <c r="E55" s="14">
        <v>2.0000000000000002E-5</v>
      </c>
      <c r="F55" s="7">
        <v>36888.758799999996</v>
      </c>
      <c r="G55" s="8">
        <f t="shared" si="1"/>
        <v>0.73777517599999998</v>
      </c>
    </row>
    <row r="56" spans="2:7" ht="24" x14ac:dyDescent="0.2">
      <c r="B56" s="5">
        <v>50</v>
      </c>
      <c r="C56" s="6" t="s">
        <v>134</v>
      </c>
      <c r="D56" s="6" t="s">
        <v>123</v>
      </c>
      <c r="E56" s="14">
        <v>3.5999999999999999E-3</v>
      </c>
      <c r="F56" s="7">
        <v>35545.423199999997</v>
      </c>
      <c r="G56" s="8">
        <f t="shared" si="1"/>
        <v>127.96352351999998</v>
      </c>
    </row>
    <row r="57" spans="2:7" x14ac:dyDescent="0.2">
      <c r="B57" s="5">
        <v>51</v>
      </c>
      <c r="C57" s="6" t="s">
        <v>135</v>
      </c>
      <c r="D57" s="6" t="s">
        <v>121</v>
      </c>
      <c r="E57" s="14">
        <v>3.0000000000000001E-5</v>
      </c>
      <c r="F57" s="7">
        <v>1009.8321999999999</v>
      </c>
      <c r="G57" s="8">
        <f t="shared" si="1"/>
        <v>3.0294966E-2</v>
      </c>
    </row>
    <row r="58" spans="2:7" ht="24" x14ac:dyDescent="0.2">
      <c r="B58" s="5">
        <v>52</v>
      </c>
      <c r="C58" s="6" t="s">
        <v>136</v>
      </c>
      <c r="D58" s="6" t="s">
        <v>123</v>
      </c>
      <c r="E58" s="14">
        <v>8.0000000000000007E-5</v>
      </c>
      <c r="F58" s="7">
        <v>78532.233200000002</v>
      </c>
      <c r="G58" s="8">
        <f t="shared" si="1"/>
        <v>6.282578656000001</v>
      </c>
    </row>
    <row r="59" spans="2:7" x14ac:dyDescent="0.2">
      <c r="B59" s="5">
        <v>53</v>
      </c>
      <c r="C59" s="6" t="s">
        <v>137</v>
      </c>
      <c r="D59" s="6" t="s">
        <v>121</v>
      </c>
      <c r="E59" s="14">
        <v>6.8000000000000005E-2</v>
      </c>
      <c r="F59" s="7">
        <v>5757.2199999999993</v>
      </c>
      <c r="G59" s="8">
        <f t="shared" si="1"/>
        <v>391.49095999999997</v>
      </c>
    </row>
    <row r="60" spans="2:7" x14ac:dyDescent="0.2">
      <c r="B60" s="5">
        <v>54</v>
      </c>
      <c r="C60" s="6" t="s">
        <v>138</v>
      </c>
      <c r="D60" s="6" t="s">
        <v>117</v>
      </c>
      <c r="E60" s="14">
        <v>1E-3</v>
      </c>
      <c r="F60" s="7">
        <v>12.224799999999998</v>
      </c>
      <c r="G60" s="8">
        <f t="shared" si="1"/>
        <v>1.2224799999999999E-2</v>
      </c>
    </row>
    <row r="61" spans="2:7" x14ac:dyDescent="0.2">
      <c r="B61" s="5">
        <v>55</v>
      </c>
      <c r="C61" s="6" t="s">
        <v>139</v>
      </c>
      <c r="D61" s="6" t="s">
        <v>117</v>
      </c>
      <c r="E61" s="14">
        <v>0.40799999999999997</v>
      </c>
      <c r="F61" s="7">
        <v>235.45719999999997</v>
      </c>
      <c r="G61" s="8">
        <f t="shared" si="1"/>
        <v>96.066537599999975</v>
      </c>
    </row>
    <row r="62" spans="2:7" x14ac:dyDescent="0.2">
      <c r="B62" s="5">
        <v>56</v>
      </c>
      <c r="C62" s="6" t="s">
        <v>140</v>
      </c>
      <c r="D62" s="6" t="s">
        <v>123</v>
      </c>
      <c r="E62" s="14">
        <v>2.5600000000000002E-3</v>
      </c>
      <c r="F62" s="7">
        <v>52252.347000000002</v>
      </c>
      <c r="G62" s="8">
        <f t="shared" si="1"/>
        <v>133.76600832000003</v>
      </c>
    </row>
    <row r="63" spans="2:7" ht="24" x14ac:dyDescent="0.2">
      <c r="B63" s="5">
        <v>57</v>
      </c>
      <c r="C63" s="6" t="s">
        <v>141</v>
      </c>
      <c r="D63" s="6" t="s">
        <v>131</v>
      </c>
      <c r="E63" s="14">
        <v>0.98399999999999999</v>
      </c>
      <c r="F63" s="7">
        <v>5383.8680000000004</v>
      </c>
      <c r="G63" s="8">
        <f t="shared" si="1"/>
        <v>5297.7261120000003</v>
      </c>
    </row>
    <row r="64" spans="2:7" x14ac:dyDescent="0.2">
      <c r="B64" s="5">
        <v>58</v>
      </c>
      <c r="C64" s="6" t="s">
        <v>142</v>
      </c>
      <c r="D64" s="6" t="s">
        <v>121</v>
      </c>
      <c r="E64" s="14">
        <v>33.634999999999998</v>
      </c>
      <c r="F64" s="7">
        <v>58.657799999999995</v>
      </c>
      <c r="G64" s="8">
        <f t="shared" si="1"/>
        <v>1972.9551029999998</v>
      </c>
    </row>
    <row r="65" spans="2:7" x14ac:dyDescent="0.2">
      <c r="B65" s="5">
        <v>59</v>
      </c>
      <c r="C65" s="6" t="s">
        <v>143</v>
      </c>
      <c r="D65" s="6" t="s">
        <v>123</v>
      </c>
      <c r="E65" s="14">
        <v>5.9999999999999995E-4</v>
      </c>
      <c r="F65" s="7">
        <v>239099.67119999998</v>
      </c>
      <c r="G65" s="8">
        <f t="shared" si="1"/>
        <v>143.45980271999997</v>
      </c>
    </row>
    <row r="66" spans="2:7" x14ac:dyDescent="0.2">
      <c r="B66" s="5">
        <v>60</v>
      </c>
      <c r="C66" s="6" t="s">
        <v>144</v>
      </c>
      <c r="D66" s="6" t="s">
        <v>119</v>
      </c>
      <c r="E66" s="14">
        <v>2</v>
      </c>
      <c r="F66" s="7">
        <v>39.423799999999993</v>
      </c>
      <c r="G66" s="8">
        <f t="shared" si="1"/>
        <v>78.847599999999986</v>
      </c>
    </row>
    <row r="67" spans="2:7" x14ac:dyDescent="0.2">
      <c r="B67" s="5">
        <v>61</v>
      </c>
      <c r="C67" s="6" t="s">
        <v>145</v>
      </c>
      <c r="D67" s="6" t="s">
        <v>123</v>
      </c>
      <c r="E67" s="14">
        <v>1.4899999999999999E-4</v>
      </c>
      <c r="F67" s="7">
        <v>39896.991800000003</v>
      </c>
      <c r="G67" s="8">
        <f t="shared" si="1"/>
        <v>5.9446517781999999</v>
      </c>
    </row>
    <row r="68" spans="2:7" x14ac:dyDescent="0.2">
      <c r="B68" s="5">
        <v>62</v>
      </c>
      <c r="C68" s="6" t="s">
        <v>146</v>
      </c>
      <c r="D68" s="6" t="s">
        <v>123</v>
      </c>
      <c r="E68" s="14">
        <v>8.0999999999999996E-4</v>
      </c>
      <c r="F68" s="16">
        <v>0.1</v>
      </c>
      <c r="G68" s="8">
        <f t="shared" si="1"/>
        <v>8.1000000000000004E-5</v>
      </c>
    </row>
    <row r="69" spans="2:7" ht="24" x14ac:dyDescent="0.2">
      <c r="B69" s="5">
        <v>63</v>
      </c>
      <c r="C69" s="6" t="s">
        <v>147</v>
      </c>
      <c r="D69" s="6" t="s">
        <v>123</v>
      </c>
      <c r="E69" s="14">
        <v>4.8299999999999998E-4</v>
      </c>
      <c r="F69" s="7">
        <v>41483.855799999998</v>
      </c>
      <c r="G69" s="8">
        <f t="shared" si="1"/>
        <v>20.036702351399999</v>
      </c>
    </row>
    <row r="70" spans="2:7" x14ac:dyDescent="0.2">
      <c r="B70" s="5">
        <v>64</v>
      </c>
      <c r="C70" s="6" t="s">
        <v>148</v>
      </c>
      <c r="D70" s="6" t="s">
        <v>117</v>
      </c>
      <c r="E70" s="14">
        <v>6.38</v>
      </c>
      <c r="F70" s="7">
        <v>45.630600000000001</v>
      </c>
      <c r="G70" s="8">
        <f t="shared" si="1"/>
        <v>291.12322799999998</v>
      </c>
    </row>
    <row r="71" spans="2:7" x14ac:dyDescent="0.2">
      <c r="B71" s="5">
        <v>65</v>
      </c>
      <c r="C71" s="6" t="s">
        <v>149</v>
      </c>
      <c r="D71" s="6" t="s">
        <v>117</v>
      </c>
      <c r="E71" s="14">
        <v>0.56999999999999995</v>
      </c>
      <c r="F71" s="7">
        <v>58.681399999999996</v>
      </c>
      <c r="G71" s="8">
        <f t="shared" si="1"/>
        <v>33.448397999999997</v>
      </c>
    </row>
    <row r="72" spans="2:7" ht="24" x14ac:dyDescent="0.2">
      <c r="B72" s="5">
        <v>66</v>
      </c>
      <c r="C72" s="6" t="s">
        <v>150</v>
      </c>
      <c r="D72" s="6" t="s">
        <v>117</v>
      </c>
      <c r="E72" s="14">
        <v>1.2</v>
      </c>
      <c r="F72" s="7">
        <v>114.8022</v>
      </c>
      <c r="G72" s="8">
        <f t="shared" si="1"/>
        <v>137.76264</v>
      </c>
    </row>
    <row r="73" spans="2:7" x14ac:dyDescent="0.2">
      <c r="B73" s="5">
        <v>67</v>
      </c>
      <c r="C73" s="6" t="s">
        <v>151</v>
      </c>
      <c r="D73" s="6" t="s">
        <v>123</v>
      </c>
      <c r="E73" s="14">
        <v>3.3000000000000002E-2</v>
      </c>
      <c r="F73" s="16">
        <v>55820.03</v>
      </c>
      <c r="G73" s="8">
        <f t="shared" si="1"/>
        <v>1842.0609899999999</v>
      </c>
    </row>
    <row r="74" spans="2:7" x14ac:dyDescent="0.2">
      <c r="B74" s="5">
        <v>68</v>
      </c>
      <c r="C74" s="6" t="s">
        <v>152</v>
      </c>
      <c r="D74" s="6" t="s">
        <v>123</v>
      </c>
      <c r="E74" s="14">
        <v>8.2299999999999995E-3</v>
      </c>
      <c r="F74" s="7">
        <v>28669.7284</v>
      </c>
      <c r="G74" s="8">
        <f t="shared" si="1"/>
        <v>235.95186473199999</v>
      </c>
    </row>
    <row r="75" spans="2:7" x14ac:dyDescent="0.2">
      <c r="B75" s="5">
        <v>69</v>
      </c>
      <c r="C75" s="6" t="s">
        <v>153</v>
      </c>
      <c r="D75" s="6" t="s">
        <v>121</v>
      </c>
      <c r="E75" s="14">
        <v>0.46500000000000002</v>
      </c>
      <c r="F75" s="16">
        <v>0.1</v>
      </c>
      <c r="G75" s="8">
        <f t="shared" ref="G75:G106" si="2">E75*F75</f>
        <v>4.6500000000000007E-2</v>
      </c>
    </row>
    <row r="76" spans="2:7" ht="24" x14ac:dyDescent="0.2">
      <c r="B76" s="5">
        <v>70</v>
      </c>
      <c r="C76" s="6" t="s">
        <v>154</v>
      </c>
      <c r="D76" s="6" t="s">
        <v>121</v>
      </c>
      <c r="E76" s="14">
        <v>3.93</v>
      </c>
      <c r="F76" s="16">
        <v>1350</v>
      </c>
      <c r="G76" s="8">
        <f t="shared" si="2"/>
        <v>5305.5</v>
      </c>
    </row>
    <row r="77" spans="2:7" x14ac:dyDescent="0.2">
      <c r="B77" s="5">
        <v>71</v>
      </c>
      <c r="C77" s="6" t="s">
        <v>155</v>
      </c>
      <c r="D77" s="6" t="s">
        <v>123</v>
      </c>
      <c r="E77" s="14">
        <v>2.8800000000000002E-3</v>
      </c>
      <c r="F77" s="7">
        <v>5157.4731999999995</v>
      </c>
      <c r="G77" s="8">
        <f t="shared" si="2"/>
        <v>14.853522816</v>
      </c>
    </row>
    <row r="78" spans="2:7" x14ac:dyDescent="0.2">
      <c r="B78" s="5">
        <v>72</v>
      </c>
      <c r="C78" s="6" t="s">
        <v>156</v>
      </c>
      <c r="D78" s="6" t="s">
        <v>119</v>
      </c>
      <c r="E78" s="14">
        <v>1450.9914000000001</v>
      </c>
      <c r="F78" s="7">
        <v>3.3983999999999996</v>
      </c>
      <c r="G78" s="8">
        <f t="shared" si="2"/>
        <v>4931.0491737599996</v>
      </c>
    </row>
    <row r="79" spans="2:7" x14ac:dyDescent="0.2">
      <c r="B79" s="5">
        <v>73</v>
      </c>
      <c r="C79" s="6" t="s">
        <v>157</v>
      </c>
      <c r="D79" s="6" t="s">
        <v>117</v>
      </c>
      <c r="E79" s="14">
        <v>17.503</v>
      </c>
      <c r="F79" s="7">
        <v>171.1</v>
      </c>
      <c r="G79" s="8">
        <f t="shared" si="2"/>
        <v>2994.7633000000001</v>
      </c>
    </row>
    <row r="80" spans="2:7" x14ac:dyDescent="0.2">
      <c r="B80" s="5">
        <v>74</v>
      </c>
      <c r="C80" s="6" t="s">
        <v>158</v>
      </c>
      <c r="D80" s="6" t="s">
        <v>119</v>
      </c>
      <c r="E80" s="14">
        <v>2</v>
      </c>
      <c r="F80" s="7">
        <v>64.286399999999986</v>
      </c>
      <c r="G80" s="8">
        <f t="shared" si="2"/>
        <v>128.57279999999997</v>
      </c>
    </row>
    <row r="81" spans="2:7" x14ac:dyDescent="0.2">
      <c r="B81" s="5">
        <v>75</v>
      </c>
      <c r="C81" s="6" t="s">
        <v>159</v>
      </c>
      <c r="D81" s="6" t="s">
        <v>123</v>
      </c>
      <c r="E81" s="14">
        <v>5.7749999999999998E-3</v>
      </c>
      <c r="F81" s="16">
        <v>0.1</v>
      </c>
      <c r="G81" s="8">
        <f t="shared" si="2"/>
        <v>5.775E-4</v>
      </c>
    </row>
    <row r="82" spans="2:7" x14ac:dyDescent="0.2">
      <c r="B82" s="5">
        <v>76</v>
      </c>
      <c r="C82" s="6" t="s">
        <v>160</v>
      </c>
      <c r="D82" s="6" t="s">
        <v>117</v>
      </c>
      <c r="E82" s="14">
        <v>7.9500000000000001E-2</v>
      </c>
      <c r="F82" s="7">
        <v>106.62479999999999</v>
      </c>
      <c r="G82" s="8">
        <f t="shared" si="2"/>
        <v>8.4766715999999995</v>
      </c>
    </row>
    <row r="83" spans="2:7" x14ac:dyDescent="0.2">
      <c r="B83" s="5">
        <v>77</v>
      </c>
      <c r="C83" s="6" t="s">
        <v>161</v>
      </c>
      <c r="D83" s="6" t="s">
        <v>117</v>
      </c>
      <c r="E83" s="14">
        <v>7.0999999999999994E-2</v>
      </c>
      <c r="F83" s="7">
        <v>58.681399999999996</v>
      </c>
      <c r="G83" s="8">
        <f t="shared" si="2"/>
        <v>4.1663793999999994</v>
      </c>
    </row>
    <row r="84" spans="2:7" x14ac:dyDescent="0.2">
      <c r="B84" s="5">
        <v>78</v>
      </c>
      <c r="C84" s="6" t="s">
        <v>162</v>
      </c>
      <c r="D84" s="6" t="s">
        <v>119</v>
      </c>
      <c r="E84" s="14">
        <v>2</v>
      </c>
      <c r="F84" s="7">
        <v>22.797599999999999</v>
      </c>
      <c r="G84" s="8">
        <f t="shared" si="2"/>
        <v>45.595199999999998</v>
      </c>
    </row>
    <row r="85" spans="2:7" x14ac:dyDescent="0.2">
      <c r="B85" s="5">
        <v>79</v>
      </c>
      <c r="C85" s="6" t="s">
        <v>163</v>
      </c>
      <c r="D85" s="6" t="s">
        <v>121</v>
      </c>
      <c r="E85" s="14">
        <v>0.64600000000000002</v>
      </c>
      <c r="F85" s="7">
        <v>642.99379999999996</v>
      </c>
      <c r="G85" s="8">
        <f t="shared" si="2"/>
        <v>415.37399479999999</v>
      </c>
    </row>
    <row r="86" spans="2:7" ht="24" x14ac:dyDescent="0.2">
      <c r="B86" s="5">
        <v>80</v>
      </c>
      <c r="C86" s="6" t="s">
        <v>164</v>
      </c>
      <c r="D86" s="6" t="s">
        <v>123</v>
      </c>
      <c r="E86" s="14">
        <v>2.64E-3</v>
      </c>
      <c r="F86" s="7">
        <v>3697.7777999999998</v>
      </c>
      <c r="G86" s="8">
        <f t="shared" si="2"/>
        <v>9.7621333919999991</v>
      </c>
    </row>
    <row r="87" spans="2:7" x14ac:dyDescent="0.2">
      <c r="B87" s="5">
        <v>81</v>
      </c>
      <c r="C87" s="6" t="s">
        <v>165</v>
      </c>
      <c r="D87" s="6" t="s">
        <v>123</v>
      </c>
      <c r="E87" s="14">
        <v>0.27</v>
      </c>
      <c r="F87" s="16">
        <v>0.1</v>
      </c>
      <c r="G87" s="8">
        <f t="shared" si="2"/>
        <v>2.7000000000000003E-2</v>
      </c>
    </row>
    <row r="88" spans="2:7" x14ac:dyDescent="0.2">
      <c r="B88" s="5">
        <v>82</v>
      </c>
      <c r="C88" s="6" t="s">
        <v>166</v>
      </c>
      <c r="D88" s="6" t="s">
        <v>119</v>
      </c>
      <c r="E88" s="14">
        <v>1</v>
      </c>
      <c r="F88" s="7">
        <v>848.30199999999991</v>
      </c>
      <c r="G88" s="8">
        <f t="shared" si="2"/>
        <v>848.30199999999991</v>
      </c>
    </row>
    <row r="89" spans="2:7" x14ac:dyDescent="0.2">
      <c r="B89" s="5">
        <v>83</v>
      </c>
      <c r="C89" s="6" t="s">
        <v>167</v>
      </c>
      <c r="D89" s="6" t="s">
        <v>168</v>
      </c>
      <c r="E89" s="14">
        <v>6.1199999999999996E-3</v>
      </c>
      <c r="F89" s="7">
        <v>2346.6659999999997</v>
      </c>
      <c r="G89" s="8">
        <f t="shared" si="2"/>
        <v>14.361595919999997</v>
      </c>
    </row>
    <row r="90" spans="2:7" x14ac:dyDescent="0.2">
      <c r="B90" s="5">
        <v>84</v>
      </c>
      <c r="C90" s="6" t="s">
        <v>169</v>
      </c>
      <c r="D90" s="6" t="s">
        <v>123</v>
      </c>
      <c r="E90" s="14">
        <v>2.0000000000000002E-5</v>
      </c>
      <c r="F90" s="7">
        <v>41859.225599999998</v>
      </c>
      <c r="G90" s="8">
        <f t="shared" si="2"/>
        <v>0.83718451199999999</v>
      </c>
    </row>
    <row r="91" spans="2:7" ht="24" x14ac:dyDescent="0.2">
      <c r="B91" s="5">
        <v>85</v>
      </c>
      <c r="C91" s="6" t="s">
        <v>170</v>
      </c>
      <c r="D91" s="6" t="s">
        <v>131</v>
      </c>
      <c r="E91" s="14">
        <v>6.1749999999999999E-2</v>
      </c>
      <c r="F91" s="7">
        <v>71041.191999999995</v>
      </c>
      <c r="G91" s="8">
        <f t="shared" si="2"/>
        <v>4386.7936059999993</v>
      </c>
    </row>
    <row r="92" spans="2:7" x14ac:dyDescent="0.2">
      <c r="B92" s="5">
        <v>86</v>
      </c>
      <c r="C92" s="6" t="s">
        <v>171</v>
      </c>
      <c r="D92" s="6" t="s">
        <v>121</v>
      </c>
      <c r="E92" s="14">
        <v>7.83</v>
      </c>
      <c r="F92" s="16">
        <v>0.1</v>
      </c>
      <c r="G92" s="8">
        <f t="shared" si="2"/>
        <v>0.78300000000000003</v>
      </c>
    </row>
    <row r="93" spans="2:7" x14ac:dyDescent="0.2">
      <c r="B93" s="5">
        <v>87</v>
      </c>
      <c r="C93" s="6" t="s">
        <v>172</v>
      </c>
      <c r="D93" s="6" t="s">
        <v>121</v>
      </c>
      <c r="E93" s="14">
        <v>0.08</v>
      </c>
      <c r="F93" s="7">
        <v>3226.3442</v>
      </c>
      <c r="G93" s="8">
        <f t="shared" si="2"/>
        <v>258.10753599999998</v>
      </c>
    </row>
    <row r="94" spans="2:7" x14ac:dyDescent="0.2">
      <c r="B94" s="5">
        <v>88</v>
      </c>
      <c r="C94" s="6" t="s">
        <v>173</v>
      </c>
      <c r="D94" s="6" t="s">
        <v>121</v>
      </c>
      <c r="E94" s="14">
        <v>1.08E-3</v>
      </c>
      <c r="F94" s="7">
        <v>3244.7049999999999</v>
      </c>
      <c r="G94" s="8">
        <f t="shared" si="2"/>
        <v>3.5042814</v>
      </c>
    </row>
    <row r="95" spans="2:7" x14ac:dyDescent="0.2">
      <c r="B95" s="5">
        <v>89</v>
      </c>
      <c r="C95" s="6" t="s">
        <v>174</v>
      </c>
      <c r="D95" s="6" t="s">
        <v>121</v>
      </c>
      <c r="E95" s="14">
        <v>0.48</v>
      </c>
      <c r="F95" s="7">
        <v>2275.5945999999999</v>
      </c>
      <c r="G95" s="8">
        <f t="shared" si="2"/>
        <v>1092.285408</v>
      </c>
    </row>
    <row r="96" spans="2:7" x14ac:dyDescent="0.2">
      <c r="B96" s="5">
        <v>90</v>
      </c>
      <c r="C96" s="6" t="s">
        <v>175</v>
      </c>
      <c r="D96" s="6" t="s">
        <v>117</v>
      </c>
      <c r="E96" s="14">
        <v>3</v>
      </c>
      <c r="F96" s="7">
        <v>88.441000000000003</v>
      </c>
      <c r="G96" s="8">
        <f t="shared" si="2"/>
        <v>265.32299999999998</v>
      </c>
    </row>
    <row r="97" spans="2:7" x14ac:dyDescent="0.2">
      <c r="B97" s="5">
        <v>91</v>
      </c>
      <c r="C97" s="6" t="s">
        <v>176</v>
      </c>
      <c r="D97" s="6" t="s">
        <v>119</v>
      </c>
      <c r="E97" s="14">
        <v>20</v>
      </c>
      <c r="F97" s="16">
        <v>124</v>
      </c>
      <c r="G97" s="8">
        <f t="shared" si="2"/>
        <v>2480</v>
      </c>
    </row>
    <row r="98" spans="2:7" x14ac:dyDescent="0.2">
      <c r="B98" s="5">
        <v>92</v>
      </c>
      <c r="C98" s="6" t="s">
        <v>177</v>
      </c>
      <c r="D98" s="6" t="s">
        <v>178</v>
      </c>
      <c r="E98" s="14">
        <v>11.5</v>
      </c>
      <c r="F98" s="16">
        <v>68.55</v>
      </c>
      <c r="G98" s="8">
        <f t="shared" si="2"/>
        <v>788.32499999999993</v>
      </c>
    </row>
    <row r="99" spans="2:7" x14ac:dyDescent="0.2">
      <c r="B99" s="5">
        <v>93</v>
      </c>
      <c r="C99" s="6" t="s">
        <v>179</v>
      </c>
      <c r="D99" s="6" t="s">
        <v>119</v>
      </c>
      <c r="E99" s="14">
        <v>20</v>
      </c>
      <c r="F99" s="16">
        <v>680</v>
      </c>
      <c r="G99" s="8">
        <f t="shared" si="2"/>
        <v>13600</v>
      </c>
    </row>
    <row r="100" spans="2:7" x14ac:dyDescent="0.2">
      <c r="B100" s="5">
        <v>94</v>
      </c>
      <c r="C100" s="6" t="s">
        <v>180</v>
      </c>
      <c r="D100" s="6" t="s">
        <v>119</v>
      </c>
      <c r="E100" s="14">
        <v>5</v>
      </c>
      <c r="F100" s="7">
        <v>24.603000000000002</v>
      </c>
      <c r="G100" s="8">
        <f t="shared" si="2"/>
        <v>123.01500000000001</v>
      </c>
    </row>
    <row r="101" spans="2:7" ht="24" x14ac:dyDescent="0.2">
      <c r="B101" s="5">
        <v>95</v>
      </c>
      <c r="C101" s="6" t="s">
        <v>181</v>
      </c>
      <c r="D101" s="6" t="s">
        <v>178</v>
      </c>
      <c r="E101" s="14">
        <v>3.62068966</v>
      </c>
      <c r="F101" s="16">
        <v>0.1</v>
      </c>
      <c r="G101" s="8">
        <f t="shared" si="2"/>
        <v>0.36206896600000005</v>
      </c>
    </row>
    <row r="102" spans="2:7" x14ac:dyDescent="0.2">
      <c r="B102" s="5">
        <v>96</v>
      </c>
      <c r="C102" s="6" t="s">
        <v>182</v>
      </c>
      <c r="D102" s="6" t="s">
        <v>119</v>
      </c>
      <c r="E102" s="14">
        <v>40.366</v>
      </c>
      <c r="F102" s="7">
        <v>20.980399999999999</v>
      </c>
      <c r="G102" s="8">
        <f t="shared" si="2"/>
        <v>846.89482639999994</v>
      </c>
    </row>
    <row r="103" spans="2:7" x14ac:dyDescent="0.2">
      <c r="B103" s="5">
        <v>97</v>
      </c>
      <c r="C103" s="6" t="s">
        <v>183</v>
      </c>
      <c r="D103" s="6" t="s">
        <v>117</v>
      </c>
      <c r="E103" s="14">
        <v>0.19500000000000001</v>
      </c>
      <c r="F103" s="7">
        <v>37.559399999999997</v>
      </c>
      <c r="G103" s="8">
        <f t="shared" si="2"/>
        <v>7.3240829999999999</v>
      </c>
    </row>
    <row r="104" spans="2:7" ht="24" x14ac:dyDescent="0.2">
      <c r="B104" s="5">
        <v>98</v>
      </c>
      <c r="C104" s="6" t="s">
        <v>184</v>
      </c>
      <c r="D104" s="6" t="s">
        <v>178</v>
      </c>
      <c r="E104" s="14">
        <v>0.68666667000000003</v>
      </c>
      <c r="F104" s="7">
        <v>188.79999999999998</v>
      </c>
      <c r="G104" s="8">
        <f t="shared" si="2"/>
        <v>129.64266729599998</v>
      </c>
    </row>
    <row r="105" spans="2:7" x14ac:dyDescent="0.2">
      <c r="B105" s="5">
        <v>99</v>
      </c>
      <c r="C105" s="6" t="s">
        <v>185</v>
      </c>
      <c r="D105" s="6" t="s">
        <v>123</v>
      </c>
      <c r="E105" s="14">
        <v>6.6000000000000005E-5</v>
      </c>
      <c r="F105" s="7">
        <v>104786.8438</v>
      </c>
      <c r="G105" s="8">
        <f t="shared" si="2"/>
        <v>6.9159316908000008</v>
      </c>
    </row>
    <row r="106" spans="2:7" x14ac:dyDescent="0.2">
      <c r="B106" s="5">
        <v>100</v>
      </c>
      <c r="C106" s="6" t="s">
        <v>186</v>
      </c>
      <c r="D106" s="6" t="s">
        <v>123</v>
      </c>
      <c r="E106" s="14">
        <v>6.6000000000000005E-5</v>
      </c>
      <c r="F106" s="7">
        <v>7035.3606</v>
      </c>
      <c r="G106" s="8">
        <f t="shared" si="2"/>
        <v>0.46433379960000004</v>
      </c>
    </row>
    <row r="107" spans="2:7" x14ac:dyDescent="0.2">
      <c r="B107" s="5">
        <v>101</v>
      </c>
      <c r="C107" s="6" t="s">
        <v>187</v>
      </c>
      <c r="D107" s="6" t="s">
        <v>188</v>
      </c>
      <c r="E107" s="14">
        <v>4.3739999999999997</v>
      </c>
      <c r="F107" s="7">
        <v>268.07240000000002</v>
      </c>
      <c r="G107" s="8">
        <f t="shared" ref="G107:G119" si="3">E107*F107</f>
        <v>1172.5486776</v>
      </c>
    </row>
    <row r="108" spans="2:7" x14ac:dyDescent="0.2">
      <c r="B108" s="5">
        <v>102</v>
      </c>
      <c r="C108" s="6" t="s">
        <v>189</v>
      </c>
      <c r="D108" s="6" t="s">
        <v>190</v>
      </c>
      <c r="E108" s="14">
        <v>4.9000000000000004</v>
      </c>
      <c r="F108" s="7">
        <v>30.078199999999995</v>
      </c>
      <c r="G108" s="8">
        <f t="shared" si="3"/>
        <v>147.38317999999998</v>
      </c>
    </row>
    <row r="109" spans="2:7" x14ac:dyDescent="0.2">
      <c r="B109" s="5">
        <v>103</v>
      </c>
      <c r="C109" s="6" t="s">
        <v>191</v>
      </c>
      <c r="D109" s="6" t="s">
        <v>192</v>
      </c>
      <c r="E109" s="14">
        <v>10</v>
      </c>
      <c r="F109" s="7">
        <v>175.31259999999997</v>
      </c>
      <c r="G109" s="8">
        <f t="shared" si="3"/>
        <v>1753.1259999999997</v>
      </c>
    </row>
    <row r="110" spans="2:7" ht="24" x14ac:dyDescent="0.2">
      <c r="B110" s="5">
        <v>104</v>
      </c>
      <c r="C110" s="6" t="s">
        <v>193</v>
      </c>
      <c r="D110" s="6" t="s">
        <v>192</v>
      </c>
      <c r="E110" s="14">
        <v>5.9880000000000004</v>
      </c>
      <c r="F110" s="7">
        <v>103.15559999999999</v>
      </c>
      <c r="G110" s="8">
        <f t="shared" si="3"/>
        <v>617.69573279999997</v>
      </c>
    </row>
    <row r="111" spans="2:7" ht="24" x14ac:dyDescent="0.2">
      <c r="B111" s="5">
        <v>105</v>
      </c>
      <c r="C111" s="6" t="s">
        <v>194</v>
      </c>
      <c r="D111" s="6" t="s">
        <v>192</v>
      </c>
      <c r="E111" s="14">
        <v>2.9940000000000002</v>
      </c>
      <c r="F111" s="7">
        <v>184.30419999999998</v>
      </c>
      <c r="G111" s="8">
        <f t="shared" si="3"/>
        <v>551.80677479999997</v>
      </c>
    </row>
    <row r="112" spans="2:7" ht="24" x14ac:dyDescent="0.2">
      <c r="B112" s="5">
        <v>106</v>
      </c>
      <c r="C112" s="6" t="s">
        <v>195</v>
      </c>
      <c r="D112" s="6" t="s">
        <v>190</v>
      </c>
      <c r="E112" s="14">
        <v>68.599999999999994</v>
      </c>
      <c r="F112" s="7">
        <v>131.0154</v>
      </c>
      <c r="G112" s="8">
        <f t="shared" si="3"/>
        <v>8987.6564399999988</v>
      </c>
    </row>
    <row r="113" spans="2:7" ht="36" x14ac:dyDescent="0.2">
      <c r="B113" s="5">
        <v>107</v>
      </c>
      <c r="C113" s="6" t="s">
        <v>196</v>
      </c>
      <c r="D113" s="6" t="s">
        <v>192</v>
      </c>
      <c r="E113" s="14">
        <v>15</v>
      </c>
      <c r="F113" s="7">
        <v>137.0924</v>
      </c>
      <c r="G113" s="8">
        <f t="shared" si="3"/>
        <v>2056.386</v>
      </c>
    </row>
    <row r="114" spans="2:7" x14ac:dyDescent="0.2">
      <c r="B114" s="5">
        <v>108</v>
      </c>
      <c r="C114" s="6" t="s">
        <v>197</v>
      </c>
      <c r="D114" s="6" t="s">
        <v>119</v>
      </c>
      <c r="E114" s="14">
        <v>21</v>
      </c>
      <c r="F114" s="7">
        <v>16.366599999999998</v>
      </c>
      <c r="G114" s="8">
        <f t="shared" si="3"/>
        <v>343.69859999999994</v>
      </c>
    </row>
    <row r="115" spans="2:7" x14ac:dyDescent="0.2">
      <c r="B115" s="5">
        <v>109</v>
      </c>
      <c r="C115" s="6" t="s">
        <v>198</v>
      </c>
      <c r="D115" s="6" t="s">
        <v>123</v>
      </c>
      <c r="E115" s="14">
        <v>9.0609999999999996E-2</v>
      </c>
      <c r="F115" s="7">
        <v>23032.266599999999</v>
      </c>
      <c r="G115" s="8">
        <f t="shared" si="3"/>
        <v>2086.9536766259998</v>
      </c>
    </row>
    <row r="116" spans="2:7" x14ac:dyDescent="0.2">
      <c r="B116" s="5">
        <v>110</v>
      </c>
      <c r="C116" s="6" t="s">
        <v>199</v>
      </c>
      <c r="D116" s="6" t="s">
        <v>178</v>
      </c>
      <c r="E116" s="14">
        <v>2.8E-3</v>
      </c>
      <c r="F116" s="7">
        <v>235.76400000000001</v>
      </c>
      <c r="G116" s="8">
        <f t="shared" si="3"/>
        <v>0.66013920000000004</v>
      </c>
    </row>
    <row r="117" spans="2:7" x14ac:dyDescent="0.2">
      <c r="B117" s="5">
        <v>111</v>
      </c>
      <c r="C117" s="6" t="s">
        <v>200</v>
      </c>
      <c r="D117" s="6" t="s">
        <v>123</v>
      </c>
      <c r="E117" s="14">
        <v>2.4000000000000001E-5</v>
      </c>
      <c r="F117" s="7">
        <v>237236.87599999999</v>
      </c>
      <c r="G117" s="8">
        <f t="shared" si="3"/>
        <v>5.6936850239999997</v>
      </c>
    </row>
    <row r="118" spans="2:7" x14ac:dyDescent="0.2">
      <c r="B118" s="5">
        <v>112</v>
      </c>
      <c r="C118" s="6" t="s">
        <v>201</v>
      </c>
      <c r="D118" s="6" t="s">
        <v>192</v>
      </c>
      <c r="E118" s="14">
        <v>4.08</v>
      </c>
      <c r="F118" s="7">
        <v>84.181200000000004</v>
      </c>
      <c r="G118" s="8">
        <f t="shared" si="3"/>
        <v>343.45929599999999</v>
      </c>
    </row>
    <row r="119" spans="2:7" x14ac:dyDescent="0.2">
      <c r="B119" s="5">
        <v>113</v>
      </c>
      <c r="C119" s="6" t="s">
        <v>202</v>
      </c>
      <c r="D119" s="6" t="s">
        <v>123</v>
      </c>
      <c r="E119" s="14">
        <v>2.9E-4</v>
      </c>
      <c r="F119" s="7">
        <v>48032.383800000003</v>
      </c>
      <c r="G119" s="8">
        <f t="shared" si="3"/>
        <v>13.929391302000001</v>
      </c>
    </row>
    <row r="120" spans="2:7" x14ac:dyDescent="0.2">
      <c r="B120" s="41" t="s">
        <v>70</v>
      </c>
      <c r="C120" s="42"/>
      <c r="D120" s="42"/>
      <c r="E120" s="42"/>
      <c r="F120" s="43"/>
      <c r="G120" s="9">
        <f>SUM(G43:G119)</f>
        <v>81838.844214795026</v>
      </c>
    </row>
    <row r="121" spans="2:7" ht="16.5" x14ac:dyDescent="0.2">
      <c r="B121" s="44" t="s">
        <v>203</v>
      </c>
      <c r="C121" s="44"/>
      <c r="D121" s="44"/>
      <c r="E121" s="44"/>
      <c r="F121" s="44"/>
      <c r="G121" s="44"/>
    </row>
    <row r="122" spans="2:7" x14ac:dyDescent="0.2">
      <c r="B122" s="10">
        <v>114</v>
      </c>
      <c r="C122" s="11" t="s">
        <v>204</v>
      </c>
      <c r="D122" s="11" t="s">
        <v>119</v>
      </c>
      <c r="E122" s="12">
        <v>0.13724554</v>
      </c>
      <c r="F122" s="13">
        <v>98.305799999999991</v>
      </c>
      <c r="G122" s="15">
        <f t="shared" ref="G122:G130" si="4">E122*F122</f>
        <v>13.492032606131998</v>
      </c>
    </row>
    <row r="123" spans="2:7" x14ac:dyDescent="0.2">
      <c r="B123" s="5">
        <v>115</v>
      </c>
      <c r="C123" s="6" t="s">
        <v>205</v>
      </c>
      <c r="D123" s="6" t="s">
        <v>119</v>
      </c>
      <c r="E123" s="14">
        <v>0.53061765000000005</v>
      </c>
      <c r="F123" s="7">
        <v>56.120800000000003</v>
      </c>
      <c r="G123" s="8">
        <f t="shared" si="4"/>
        <v>29.778687012120006</v>
      </c>
    </row>
    <row r="124" spans="2:7" x14ac:dyDescent="0.2">
      <c r="B124" s="5">
        <v>116</v>
      </c>
      <c r="C124" s="6" t="s">
        <v>206</v>
      </c>
      <c r="D124" s="6" t="s">
        <v>119</v>
      </c>
      <c r="E124" s="14">
        <v>5.3291999999999999E-2</v>
      </c>
      <c r="F124" s="7">
        <v>234.1592</v>
      </c>
      <c r="G124" s="8">
        <f t="shared" si="4"/>
        <v>12.4788120864</v>
      </c>
    </row>
    <row r="125" spans="2:7" x14ac:dyDescent="0.2">
      <c r="B125" s="5">
        <v>117</v>
      </c>
      <c r="C125" s="6" t="s">
        <v>207</v>
      </c>
      <c r="D125" s="6" t="s">
        <v>119</v>
      </c>
      <c r="E125" s="14">
        <v>2.4E-2</v>
      </c>
      <c r="F125" s="7">
        <v>247.79999999999998</v>
      </c>
      <c r="G125" s="8">
        <f t="shared" si="4"/>
        <v>5.9471999999999996</v>
      </c>
    </row>
    <row r="126" spans="2:7" x14ac:dyDescent="0.2">
      <c r="B126" s="5">
        <v>118</v>
      </c>
      <c r="C126" s="6" t="s">
        <v>208</v>
      </c>
      <c r="D126" s="6" t="s">
        <v>119</v>
      </c>
      <c r="E126" s="14">
        <v>7.1194879999999996</v>
      </c>
      <c r="F126" s="7">
        <v>62.410199999999996</v>
      </c>
      <c r="G126" s="8">
        <f t="shared" si="4"/>
        <v>444.32866997759993</v>
      </c>
    </row>
    <row r="127" spans="2:7" x14ac:dyDescent="0.2">
      <c r="B127" s="5">
        <v>119</v>
      </c>
      <c r="C127" s="6" t="s">
        <v>209</v>
      </c>
      <c r="D127" s="6" t="s">
        <v>119</v>
      </c>
      <c r="E127" s="14">
        <v>2.47E-2</v>
      </c>
      <c r="F127" s="7">
        <v>171.6782</v>
      </c>
      <c r="G127" s="8">
        <f t="shared" si="4"/>
        <v>4.2404515400000005</v>
      </c>
    </row>
    <row r="128" spans="2:7" x14ac:dyDescent="0.2">
      <c r="B128" s="5">
        <v>120</v>
      </c>
      <c r="C128" s="6" t="s">
        <v>210</v>
      </c>
      <c r="D128" s="6" t="s">
        <v>119</v>
      </c>
      <c r="E128" s="14">
        <v>2.2108630000000001E-2</v>
      </c>
      <c r="F128" s="7">
        <v>96.759999999999991</v>
      </c>
      <c r="G128" s="8">
        <f t="shared" si="4"/>
        <v>2.1392310387999998</v>
      </c>
    </row>
    <row r="129" spans="2:7" x14ac:dyDescent="0.2">
      <c r="B129" s="5">
        <v>121</v>
      </c>
      <c r="C129" s="6" t="s">
        <v>211</v>
      </c>
      <c r="D129" s="6" t="s">
        <v>119</v>
      </c>
      <c r="E129" s="14">
        <v>9.3027109999999996E-2</v>
      </c>
      <c r="F129" s="7">
        <v>47.199999999999996</v>
      </c>
      <c r="G129" s="8">
        <f t="shared" si="4"/>
        <v>4.3908795919999992</v>
      </c>
    </row>
    <row r="130" spans="2:7" x14ac:dyDescent="0.2">
      <c r="B130" s="5">
        <v>122</v>
      </c>
      <c r="C130" s="6" t="s">
        <v>212</v>
      </c>
      <c r="D130" s="6" t="s">
        <v>119</v>
      </c>
      <c r="E130" s="14">
        <v>9.3027109999999996E-2</v>
      </c>
      <c r="F130" s="7">
        <v>149.97799999999998</v>
      </c>
      <c r="G130" s="8">
        <f t="shared" si="4"/>
        <v>13.952019903579998</v>
      </c>
    </row>
    <row r="131" spans="2:7" x14ac:dyDescent="0.2">
      <c r="B131" s="41" t="s">
        <v>70</v>
      </c>
      <c r="C131" s="42"/>
      <c r="D131" s="42"/>
      <c r="E131" s="42"/>
      <c r="F131" s="43"/>
      <c r="G131" s="9">
        <f>SUM(G122:G130)</f>
        <v>530.74798375663192</v>
      </c>
    </row>
    <row r="132" spans="2:7" ht="16.5" x14ac:dyDescent="0.2">
      <c r="B132" s="44" t="s">
        <v>213</v>
      </c>
      <c r="C132" s="44"/>
      <c r="D132" s="44"/>
      <c r="E132" s="44"/>
      <c r="F132" s="44"/>
      <c r="G132" s="44"/>
    </row>
    <row r="133" spans="2:7" x14ac:dyDescent="0.2">
      <c r="B133" s="10">
        <v>123</v>
      </c>
      <c r="C133" s="11" t="s">
        <v>214</v>
      </c>
      <c r="D133" s="11" t="s">
        <v>215</v>
      </c>
      <c r="E133" s="12">
        <v>9.15</v>
      </c>
      <c r="F133" s="13">
        <v>58.696500000000007</v>
      </c>
      <c r="G133" s="15">
        <f t="shared" ref="G133:G138" si="5">E133*F133</f>
        <v>537.07297500000004</v>
      </c>
    </row>
    <row r="134" spans="2:7" ht="24" x14ac:dyDescent="0.2">
      <c r="B134" s="5">
        <v>124</v>
      </c>
      <c r="C134" s="6" t="s">
        <v>216</v>
      </c>
      <c r="D134" s="6" t="s">
        <v>215</v>
      </c>
      <c r="E134" s="14">
        <v>0.216</v>
      </c>
      <c r="F134" s="7">
        <v>743.45630000000006</v>
      </c>
      <c r="G134" s="8">
        <f t="shared" si="5"/>
        <v>160.5865608</v>
      </c>
    </row>
    <row r="135" spans="2:7" x14ac:dyDescent="0.2">
      <c r="B135" s="5">
        <v>125</v>
      </c>
      <c r="C135" s="6" t="s">
        <v>217</v>
      </c>
      <c r="D135" s="6" t="s">
        <v>218</v>
      </c>
      <c r="E135" s="14">
        <v>48.260300000000001</v>
      </c>
      <c r="F135" s="7">
        <v>611.68619999999999</v>
      </c>
      <c r="G135" s="8">
        <f t="shared" si="5"/>
        <v>29520.15951786</v>
      </c>
    </row>
    <row r="136" spans="2:7" x14ac:dyDescent="0.2">
      <c r="B136" s="5">
        <v>126</v>
      </c>
      <c r="C136" s="6" t="s">
        <v>219</v>
      </c>
      <c r="D136" s="6" t="s">
        <v>218</v>
      </c>
      <c r="E136" s="14">
        <v>2.4127200000000002</v>
      </c>
      <c r="F136" s="7">
        <v>649.11680000000001</v>
      </c>
      <c r="G136" s="8">
        <f t="shared" si="5"/>
        <v>1566.1370856960002</v>
      </c>
    </row>
    <row r="137" spans="2:7" x14ac:dyDescent="0.2">
      <c r="B137" s="5">
        <v>127</v>
      </c>
      <c r="C137" s="6" t="s">
        <v>220</v>
      </c>
      <c r="D137" s="6" t="s">
        <v>218</v>
      </c>
      <c r="E137" s="14">
        <v>0.14183999999999999</v>
      </c>
      <c r="F137" s="7">
        <v>649.11680000000001</v>
      </c>
      <c r="G137" s="8">
        <f t="shared" si="5"/>
        <v>92.070726911999998</v>
      </c>
    </row>
    <row r="138" spans="2:7" x14ac:dyDescent="0.2">
      <c r="B138" s="5">
        <v>128</v>
      </c>
      <c r="C138" s="6" t="s">
        <v>221</v>
      </c>
      <c r="D138" s="6" t="s">
        <v>218</v>
      </c>
      <c r="E138" s="14">
        <v>1.5184</v>
      </c>
      <c r="F138" s="7">
        <v>611.68619999999999</v>
      </c>
      <c r="G138" s="8">
        <f t="shared" si="5"/>
        <v>928.78432607999991</v>
      </c>
    </row>
    <row r="139" spans="2:7" x14ac:dyDescent="0.2">
      <c r="B139" s="41" t="s">
        <v>70</v>
      </c>
      <c r="C139" s="42"/>
      <c r="D139" s="42"/>
      <c r="E139" s="42"/>
      <c r="F139" s="43"/>
      <c r="G139" s="9">
        <f>SUM(G133:G138)</f>
        <v>32804.811192347996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B131:F131"/>
    <mergeCell ref="B132:G132"/>
    <mergeCell ref="B139:F139"/>
    <mergeCell ref="B1:G1"/>
    <mergeCell ref="B4:G4"/>
    <mergeCell ref="B41:F41"/>
    <mergeCell ref="B42:G42"/>
    <mergeCell ref="B120:F120"/>
    <mergeCell ref="B121:G121"/>
  </mergeCells>
  <pageMargins left="0.35" right="0.35" top="0.35" bottom="0.35" header="0.3" footer="0.3"/>
  <pageSetup paperSize="9" fitToHeight="0" orientation="portrait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Работы</vt:lpstr>
      <vt:lpstr>Ресурсы</vt:lpstr>
      <vt:lpstr>Работы!Заголовки_для_печати</vt:lpstr>
      <vt:lpstr>Ресурсы!Заголовки_для_печати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Ð¡Ð¼ÐµÑ‚Ð° Ñ€Ð°ÑÑ…Ð¾Ð´Ð¾Ð²</dc:title>
  <dc:subject>Ð¡Ð¼ÐµÑ‚Ð° Ñ€Ð°ÑÑ…Ð¾Ð´Ð¾Ð²</dc:subject>
  <dc:creator>ÐœÐšÐ”-Ñ€Ð°ÑÑ‡ÐµÑ‚. Ð¦ÐµÐ½Ñ‚Ñ€ Ð¼ÑƒÐ½Ð¸Ñ†Ð¸Ð¿Ð°Ð»ÑŒÐ½Ð¾Ð¹ ÑÐºÐ¾Ð½Ð¾Ð¼Ð¸ÐºÐ¸ Ð¸ Ð¿Ñ€Ð°Ð²Ð°</dc:creator>
  <cp:keywords>ÑÐ¼ÐµÑ‚Ð° Ñ€Ð°ÑÑ‡ÐµÑ‚ Ð¶ÐºÑ…</cp:keywords>
  <dc:description>Ð¡Ð¼ÐµÑ‚Ð° Ñ€Ð°ÑÑ…Ð¾Ð´Ð¾Ð² Ð²ÐºÐ»ÑŽÑ‡Ð°ÐµÑ‚ Ð¿ÐµÑ€ÐµÑ‡ÐµÐ½ÑŒ Ñ€Ð°Ð±Ð¾Ñ‚ Ð¸ Ð¿ÐµÑ€ÐµÑ‡ÐµÐ½ÑŒ Ñ€ÐµÑÑƒÑ€ÑÐ¾Ð²</dc:description>
  <cp:lastModifiedBy>admin</cp:lastModifiedBy>
  <cp:lastPrinted>2016-03-28T11:44:42Z</cp:lastPrinted>
  <dcterms:created xsi:type="dcterms:W3CDTF">2015-03-31T13:27:13Z</dcterms:created>
  <dcterms:modified xsi:type="dcterms:W3CDTF">2016-06-15T18:27:20Z</dcterms:modified>
  <cp:category>Test result file</cp:category>
</cp:coreProperties>
</file>